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19440" windowHeight="12450"/>
  </bookViews>
  <sheets>
    <sheet name="исп сметы" sheetId="1" r:id="rId1"/>
    <sheet name="Лист2" sheetId="2" r:id="rId2"/>
    <sheet name="Лист3" sheetId="3" r:id="rId3"/>
  </sheets>
  <definedNames>
    <definedName name="_xlnm.Print_Area" localSheetId="0">'исп сметы'!$A$1:$L$62</definedName>
  </definedNames>
  <calcPr calcId="125725" refMode="R1C1"/>
</workbook>
</file>

<file path=xl/calcChain.xml><?xml version="1.0" encoding="utf-8"?>
<calcChain xmlns="http://schemas.openxmlformats.org/spreadsheetml/2006/main">
  <c r="G59" i="1"/>
  <c r="I51" l="1"/>
  <c r="F51"/>
  <c r="F3"/>
  <c r="I50"/>
  <c r="H50"/>
  <c r="G50"/>
  <c r="F50"/>
  <c r="E50"/>
  <c r="D50"/>
  <c r="D51" l="1"/>
  <c r="E3" l="1"/>
  <c r="I49"/>
  <c r="I48"/>
  <c r="I47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5"/>
  <c r="I14"/>
  <c r="I13"/>
  <c r="I12"/>
  <c r="I11"/>
  <c r="I10"/>
  <c r="I9"/>
  <c r="I8"/>
  <c r="I7"/>
  <c r="I6"/>
  <c r="I5"/>
  <c r="G5"/>
  <c r="H45"/>
  <c r="G45"/>
  <c r="F45"/>
  <c r="E45"/>
  <c r="D45"/>
  <c r="F31"/>
  <c r="C15"/>
  <c r="C48"/>
  <c r="C47"/>
  <c r="C42"/>
  <c r="H5" l="1"/>
  <c r="H15"/>
  <c r="H26"/>
  <c r="G26"/>
  <c r="G15"/>
  <c r="F7"/>
  <c r="F8"/>
  <c r="F9"/>
  <c r="F10"/>
  <c r="F11"/>
  <c r="F12"/>
  <c r="F13"/>
  <c r="F6"/>
  <c r="E15"/>
  <c r="E5"/>
  <c r="D15"/>
  <c r="D5"/>
  <c r="F15" l="1"/>
  <c r="C56"/>
  <c r="F30"/>
  <c r="F44"/>
  <c r="F34"/>
  <c r="F18"/>
  <c r="F27"/>
  <c r="F26"/>
  <c r="F25"/>
  <c r="F24"/>
  <c r="F23"/>
  <c r="F22"/>
  <c r="F21"/>
  <c r="F20"/>
  <c r="F19"/>
  <c r="F28" l="1"/>
  <c r="F29"/>
  <c r="F32"/>
  <c r="F33"/>
  <c r="F35"/>
  <c r="F36"/>
  <c r="F37"/>
  <c r="F38"/>
  <c r="F39"/>
  <c r="F40"/>
  <c r="F41"/>
  <c r="F42"/>
  <c r="F43"/>
  <c r="F5" l="1"/>
  <c r="D48"/>
  <c r="C55"/>
  <c r="D47" l="1"/>
  <c r="F52" l="1"/>
  <c r="G52" s="1"/>
  <c r="H52" s="1"/>
  <c r="D52"/>
  <c r="E52" s="1"/>
  <c r="E51" l="1"/>
  <c r="G3"/>
  <c r="G51" s="1"/>
  <c r="H51" l="1"/>
  <c r="H3"/>
</calcChain>
</file>

<file path=xl/sharedStrings.xml><?xml version="1.0" encoding="utf-8"?>
<sst xmlns="http://schemas.openxmlformats.org/spreadsheetml/2006/main" count="71" uniqueCount="70">
  <si>
    <t>Компенсация за польз.имуществом СНТ</t>
  </si>
  <si>
    <t>1. Взносы садоводов по 51 счёту, всего</t>
  </si>
  <si>
    <t xml:space="preserve">2. Расходы по 51 счёту, всего </t>
  </si>
  <si>
    <t>Банковские услуги</t>
  </si>
  <si>
    <t>Бухгалтерские услуги</t>
  </si>
  <si>
    <t>Вывоз мусора</t>
  </si>
  <si>
    <t>Общественная электроэнергия</t>
  </si>
  <si>
    <t>Обслуживание оргтехники и канцтовары</t>
  </si>
  <si>
    <t>Обслуживание связи и интернет</t>
  </si>
  <si>
    <t>Услуги по поддержанию сайта</t>
  </si>
  <si>
    <t>Почтовые расходы</t>
  </si>
  <si>
    <t>ГСМ (компенсация+трактор)</t>
  </si>
  <si>
    <t>Ремонт и ТО летнего водопровода, гидроузлов</t>
  </si>
  <si>
    <t>Ремонт электросетей</t>
  </si>
  <si>
    <t>Техническое обслуживание и ППР трактора</t>
  </si>
  <si>
    <t>Текущий (ямочный) ремонт дорог</t>
  </si>
  <si>
    <t>Уборка прилегающей территории</t>
  </si>
  <si>
    <t>Текущий ремонт системы водоотведения</t>
  </si>
  <si>
    <t>Модернизация системы питания шлагбаума и видеонаблюдения</t>
  </si>
  <si>
    <t>Водный налог на скважины</t>
  </si>
  <si>
    <t>Судебные и юридические расходы</t>
  </si>
  <si>
    <t>Строительство забора</t>
  </si>
  <si>
    <t>Иные расходы, не предусмотренные сметой</t>
  </si>
  <si>
    <t>Кадастровые работы</t>
  </si>
  <si>
    <t>Обслуживание газопровода</t>
  </si>
  <si>
    <t>Налог УСН, прочие налоги и сборы, ЕНП</t>
  </si>
  <si>
    <t>ИТОГО ПОСТУПЛЕНИЙ</t>
  </si>
  <si>
    <t>Сальдо на 1.10.2025 г. (без учёта депозита0</t>
  </si>
  <si>
    <t>Факт 6 месяцев</t>
  </si>
  <si>
    <t>Обслуживание 1С,ЭЦП, отчётность</t>
  </si>
  <si>
    <t>Кварт.взносы (расчёт)</t>
  </si>
  <si>
    <t>Целевой взнос на освещение(расчёт)</t>
  </si>
  <si>
    <t>Начисления за въезд в дорожный фонд</t>
  </si>
  <si>
    <t>Обслуживание  электрохозяйства и освещение подъездной дороги</t>
  </si>
  <si>
    <t>Сальдо на 01.10.2025</t>
  </si>
  <si>
    <t>СТРОИТЕЛЬСТВО ЛИНИИ ЭЛ.Пер</t>
  </si>
  <si>
    <t>Факт 4 кв 2025</t>
  </si>
  <si>
    <t>Факт 1 кв 2026</t>
  </si>
  <si>
    <t>Членские взносы</t>
  </si>
  <si>
    <t>Целевые взносы (за линию эл. Передач)</t>
  </si>
  <si>
    <t>Целевые за подключение к газу</t>
  </si>
  <si>
    <t>Взносы за въезд грузового транспорта</t>
  </si>
  <si>
    <t>% по депозиту</t>
  </si>
  <si>
    <t>Выплата заработной платы (без НДФЛ)</t>
  </si>
  <si>
    <t>Налоги по зарплате (с учетом НДФЛ)</t>
  </si>
  <si>
    <t>Оплачено из них</t>
  </si>
  <si>
    <t>Начислено взносов за въезд с 01.08.2025по 31.03.2026</t>
  </si>
  <si>
    <t>Начислено взносов за въезд с 01.01.2023 по 31.07.2025</t>
  </si>
  <si>
    <t>апрель</t>
  </si>
  <si>
    <t>май</t>
  </si>
  <si>
    <t>Газ для отопления мест общего пользования (поставка газа)</t>
  </si>
  <si>
    <t>Поступление средств на невыясненных</t>
  </si>
  <si>
    <t>Возврат невыясненных</t>
  </si>
  <si>
    <t>Хознужды (покупка котла, аренда спецтехники, таблички)</t>
  </si>
  <si>
    <t>Сальдо по 51</t>
  </si>
  <si>
    <t>МОСОБЛКОМЛЕС
Возмещение судебных расходов на оплату услуг предс от 05.05.2026</t>
  </si>
  <si>
    <t>сверено! Остаток на 01.06.2026</t>
  </si>
  <si>
    <t>По смете на год</t>
  </si>
  <si>
    <t>Транспортировка газа</t>
  </si>
  <si>
    <t>ИТОГО, расходы всего</t>
  </si>
  <si>
    <t xml:space="preserve">ИСПОЛНЕНИЕ ГОДОВОЙ СМЕТЫ, ПРИНЯТОЙ ОС СНТ "ДРУЖБА"  07.09.2025 Г., ЗА 8 МЕСЯЦЕВ С 01.10.2025 Г. </t>
  </si>
  <si>
    <t>Факт 8 месяцев</t>
  </si>
  <si>
    <t>ИТОГО РАСХОДОВ ЗА 8 месяцев(год)</t>
  </si>
  <si>
    <t>САЛЬДО (без учёта депозита)</t>
  </si>
  <si>
    <t>Из нераспределённой прибыли</t>
  </si>
  <si>
    <t>Строительство забора и калитки</t>
  </si>
  <si>
    <t>Освещение подъездной дороги</t>
  </si>
  <si>
    <t>из них, вернулись</t>
  </si>
  <si>
    <t>Депозит</t>
  </si>
  <si>
    <t>Сальдо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</si>
</sst>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4" fontId="0" fillId="0" borderId="0" xfId="0" applyNumberFormat="1"/>
    <xf numFmtId="0" fontId="0" fillId="2" borderId="0" xfId="0" applyFill="1"/>
    <xf numFmtId="4" fontId="1" fillId="0" borderId="0" xfId="0" applyNumberFormat="1" applyFont="1"/>
    <xf numFmtId="4" fontId="0" fillId="3" borderId="0" xfId="0" applyNumberFormat="1" applyFill="1"/>
    <xf numFmtId="0" fontId="0" fillId="6" borderId="0" xfId="0" applyFill="1"/>
    <xf numFmtId="4" fontId="1" fillId="6" borderId="0" xfId="0" applyNumberFormat="1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" fontId="3" fillId="0" borderId="0" xfId="0" applyNumberFormat="1" applyFont="1"/>
    <xf numFmtId="4" fontId="3" fillId="4" borderId="0" xfId="0" applyNumberFormat="1" applyFont="1" applyFill="1" applyAlignment="1">
      <alignment wrapText="1"/>
    </xf>
    <xf numFmtId="4" fontId="3" fillId="4" borderId="0" xfId="0" applyNumberFormat="1" applyFont="1" applyFill="1"/>
    <xf numFmtId="4" fontId="3" fillId="3" borderId="0" xfId="0" applyNumberFormat="1" applyFont="1" applyFill="1"/>
    <xf numFmtId="4" fontId="4" fillId="4" borderId="0" xfId="0" applyNumberFormat="1" applyFont="1" applyFill="1" applyAlignment="1">
      <alignment horizontal="center"/>
    </xf>
    <xf numFmtId="4" fontId="4" fillId="3" borderId="0" xfId="0" applyNumberFormat="1" applyFont="1" applyFill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4" fillId="0" borderId="1" xfId="0" applyFont="1" applyBorder="1"/>
    <xf numFmtId="4" fontId="4" fillId="4" borderId="1" xfId="0" applyNumberFormat="1" applyFont="1" applyFill="1" applyBorder="1"/>
    <xf numFmtId="4" fontId="4" fillId="3" borderId="1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4" fontId="4" fillId="3" borderId="2" xfId="0" applyNumberFormat="1" applyFont="1" applyFill="1" applyBorder="1"/>
    <xf numFmtId="4" fontId="4" fillId="0" borderId="1" xfId="0" applyNumberFormat="1" applyFont="1" applyBorder="1"/>
    <xf numFmtId="4" fontId="3" fillId="4" borderId="1" xfId="0" applyNumberFormat="1" applyFont="1" applyFill="1" applyBorder="1"/>
    <xf numFmtId="4" fontId="3" fillId="3" borderId="2" xfId="0" applyNumberFormat="1" applyFont="1" applyFill="1" applyBorder="1"/>
    <xf numFmtId="4" fontId="3" fillId="3" borderId="1" xfId="0" applyNumberFormat="1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5" xfId="0" applyFont="1" applyFill="1" applyBorder="1"/>
    <xf numFmtId="0" fontId="4" fillId="0" borderId="1" xfId="0" applyFont="1" applyBorder="1" applyAlignment="1">
      <alignment horizontal="right"/>
    </xf>
    <xf numFmtId="0" fontId="3" fillId="0" borderId="1" xfId="0" applyFont="1" applyFill="1" applyBorder="1"/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4" fontId="3" fillId="6" borderId="1" xfId="0" applyNumberFormat="1" applyFont="1" applyFill="1" applyBorder="1"/>
    <xf numFmtId="0" fontId="3" fillId="5" borderId="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Alignment="1">
      <alignment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2" fontId="4" fillId="0" borderId="1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7" borderId="1" xfId="0" applyNumberFormat="1" applyFont="1" applyFill="1" applyBorder="1"/>
    <xf numFmtId="2" fontId="3" fillId="0" borderId="1" xfId="0" applyNumberFormat="1" applyFont="1" applyBorder="1"/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5" fillId="0" borderId="0" xfId="0" applyFont="1"/>
    <xf numFmtId="4" fontId="5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3"/>
  <sheetViews>
    <sheetView tabSelected="1" view="pageBreakPreview" topLeftCell="A34" zoomScale="70" zoomScaleNormal="70" zoomScaleSheetLayoutView="70" workbookViewId="0">
      <selection activeCell="G58" sqref="G58"/>
    </sheetView>
  </sheetViews>
  <sheetFormatPr defaultRowHeight="15"/>
  <cols>
    <col min="1" max="1" width="53.28515625" customWidth="1"/>
    <col min="2" max="2" width="12.42578125" customWidth="1"/>
    <col min="3" max="3" width="15.7109375" customWidth="1"/>
    <col min="4" max="4" width="17.5703125" customWidth="1"/>
    <col min="5" max="5" width="17.28515625" customWidth="1"/>
    <col min="6" max="6" width="18" customWidth="1"/>
    <col min="7" max="8" width="15.7109375" style="1" customWidth="1"/>
    <col min="9" max="9" width="18.140625" style="1" customWidth="1"/>
    <col min="10" max="11" width="15.7109375" style="1" customWidth="1"/>
    <col min="12" max="12" width="26.42578125" customWidth="1"/>
    <col min="13" max="13" width="14.5703125" customWidth="1"/>
    <col min="16" max="16" width="16.28515625" customWidth="1"/>
    <col min="17" max="17" width="12.85546875" customWidth="1"/>
  </cols>
  <sheetData>
    <row r="1" spans="1:11" ht="17.25">
      <c r="A1" s="7"/>
      <c r="B1" s="7"/>
      <c r="C1" s="8" t="s">
        <v>60</v>
      </c>
      <c r="D1" s="7"/>
      <c r="E1" s="7"/>
      <c r="F1" s="7"/>
      <c r="G1" s="9"/>
      <c r="H1" s="9"/>
      <c r="I1" s="9"/>
    </row>
    <row r="2" spans="1:11" ht="30" customHeight="1">
      <c r="A2" s="7"/>
      <c r="B2" s="7"/>
      <c r="C2" s="8"/>
      <c r="D2" s="10" t="s">
        <v>34</v>
      </c>
      <c r="E2" s="11"/>
      <c r="F2" s="11"/>
      <c r="G2" s="12"/>
      <c r="H2" s="12"/>
      <c r="I2" s="9"/>
    </row>
    <row r="3" spans="1:11" ht="17.25">
      <c r="A3" s="7"/>
      <c r="B3" s="7"/>
      <c r="C3" s="8"/>
      <c r="D3" s="13">
        <v>517942.3</v>
      </c>
      <c r="E3" s="13">
        <f>D51</f>
        <v>-1099377.02</v>
      </c>
      <c r="F3" s="13">
        <f>D3</f>
        <v>517942.3</v>
      </c>
      <c r="G3" s="14">
        <f>F51</f>
        <v>-308114.36000000034</v>
      </c>
      <c r="H3" s="14">
        <f>G51</f>
        <v>-147954.87000000023</v>
      </c>
      <c r="I3" s="14">
        <v>517942.3</v>
      </c>
      <c r="J3" s="6"/>
      <c r="K3" s="6"/>
    </row>
    <row r="4" spans="1:11" ht="17.25">
      <c r="A4" s="15" t="s">
        <v>27</v>
      </c>
      <c r="B4" s="16">
        <v>517942.3</v>
      </c>
      <c r="C4" s="17" t="s">
        <v>57</v>
      </c>
      <c r="D4" s="18" t="s">
        <v>36</v>
      </c>
      <c r="E4" s="18" t="s">
        <v>37</v>
      </c>
      <c r="F4" s="18" t="s">
        <v>28</v>
      </c>
      <c r="G4" s="19" t="s">
        <v>48</v>
      </c>
      <c r="H4" s="20" t="s">
        <v>49</v>
      </c>
      <c r="I4" s="17" t="s">
        <v>61</v>
      </c>
      <c r="J4"/>
      <c r="K4"/>
    </row>
    <row r="5" spans="1:11" ht="17.25">
      <c r="A5" s="17" t="s">
        <v>1</v>
      </c>
      <c r="B5" s="16"/>
      <c r="C5" s="16"/>
      <c r="D5" s="18">
        <f>SUM(D6:D9)</f>
        <v>2118729.9700000002</v>
      </c>
      <c r="E5" s="18">
        <f>SUM(E6:E9)</f>
        <v>2216518.44</v>
      </c>
      <c r="F5" s="18">
        <f>D5+E5</f>
        <v>4335248.41</v>
      </c>
      <c r="G5" s="21">
        <f>SUM(G6:G9)</f>
        <v>1025676.4</v>
      </c>
      <c r="H5" s="22">
        <f>SUM(H6:H9)</f>
        <v>359879.52</v>
      </c>
      <c r="I5" s="23">
        <f>F5+G5+H5</f>
        <v>5720804.3300000001</v>
      </c>
      <c r="J5"/>
      <c r="K5"/>
    </row>
    <row r="6" spans="1:11" ht="17.25">
      <c r="A6" s="15" t="s">
        <v>38</v>
      </c>
      <c r="B6" s="16"/>
      <c r="C6" s="16">
        <v>7695284.8399999999</v>
      </c>
      <c r="D6" s="24">
        <v>1746507.21</v>
      </c>
      <c r="E6" s="24">
        <v>1682941.84</v>
      </c>
      <c r="F6" s="24">
        <f>D6+E6</f>
        <v>3429449.05</v>
      </c>
      <c r="G6" s="21">
        <v>909130.15</v>
      </c>
      <c r="H6" s="25">
        <v>319620.32</v>
      </c>
      <c r="I6" s="16">
        <f t="shared" ref="I6:I15" si="0">F6+G6+H6</f>
        <v>4658199.5200000005</v>
      </c>
      <c r="J6"/>
      <c r="K6"/>
    </row>
    <row r="7" spans="1:11" ht="17.25">
      <c r="A7" s="15" t="s">
        <v>39</v>
      </c>
      <c r="B7" s="16"/>
      <c r="C7" s="16"/>
      <c r="D7" s="24">
        <v>286823.52</v>
      </c>
      <c r="E7" s="24">
        <v>180401.4</v>
      </c>
      <c r="F7" s="24">
        <f t="shared" ref="F7:F13" si="1">D7+E7</f>
        <v>467224.92000000004</v>
      </c>
      <c r="G7" s="26">
        <v>52341.25</v>
      </c>
      <c r="H7" s="25">
        <v>14801.33</v>
      </c>
      <c r="I7" s="16">
        <f t="shared" si="0"/>
        <v>534367.5</v>
      </c>
      <c r="J7"/>
      <c r="K7"/>
    </row>
    <row r="8" spans="1:11" ht="17.25">
      <c r="A8" s="15" t="s">
        <v>40</v>
      </c>
      <c r="B8" s="16"/>
      <c r="C8" s="16">
        <v>0</v>
      </c>
      <c r="D8" s="24">
        <v>0</v>
      </c>
      <c r="E8" s="24">
        <v>150000</v>
      </c>
      <c r="F8" s="24">
        <f t="shared" si="1"/>
        <v>150000</v>
      </c>
      <c r="G8" s="26">
        <v>0</v>
      </c>
      <c r="H8" s="25"/>
      <c r="I8" s="16">
        <f t="shared" si="0"/>
        <v>150000</v>
      </c>
      <c r="J8"/>
      <c r="K8"/>
    </row>
    <row r="9" spans="1:11" ht="17.25">
      <c r="A9" s="15" t="s">
        <v>41</v>
      </c>
      <c r="B9" s="16"/>
      <c r="C9" s="16">
        <v>180000</v>
      </c>
      <c r="D9" s="24">
        <v>85399.24</v>
      </c>
      <c r="E9" s="24">
        <v>203175.2</v>
      </c>
      <c r="F9" s="24">
        <f t="shared" si="1"/>
        <v>288574.44</v>
      </c>
      <c r="G9" s="26">
        <v>64205</v>
      </c>
      <c r="H9" s="25">
        <v>25457.87</v>
      </c>
      <c r="I9" s="16">
        <f t="shared" si="0"/>
        <v>378237.31</v>
      </c>
      <c r="J9"/>
      <c r="K9"/>
    </row>
    <row r="10" spans="1:11" ht="17.25">
      <c r="A10" s="15" t="s">
        <v>42</v>
      </c>
      <c r="B10" s="16"/>
      <c r="C10" s="16">
        <v>24048</v>
      </c>
      <c r="D10" s="24">
        <v>10822.03</v>
      </c>
      <c r="E10" s="24">
        <v>20071.23</v>
      </c>
      <c r="F10" s="24">
        <f t="shared" si="1"/>
        <v>30893.260000000002</v>
      </c>
      <c r="G10" s="26">
        <v>13619.51</v>
      </c>
      <c r="H10" s="25">
        <v>13512.19</v>
      </c>
      <c r="I10" s="16">
        <f t="shared" si="0"/>
        <v>58024.960000000006</v>
      </c>
      <c r="J10"/>
      <c r="K10"/>
    </row>
    <row r="11" spans="1:11" ht="17.25">
      <c r="A11" s="15" t="s">
        <v>0</v>
      </c>
      <c r="B11" s="15"/>
      <c r="C11" s="16">
        <v>22800</v>
      </c>
      <c r="D11" s="24"/>
      <c r="E11" s="24"/>
      <c r="F11" s="24">
        <f t="shared" si="1"/>
        <v>0</v>
      </c>
      <c r="G11" s="26"/>
      <c r="H11" s="25"/>
      <c r="I11" s="16">
        <f t="shared" si="0"/>
        <v>0</v>
      </c>
      <c r="J11"/>
      <c r="K11"/>
    </row>
    <row r="12" spans="1:11" ht="17.25">
      <c r="A12" s="27" t="s">
        <v>51</v>
      </c>
      <c r="B12" s="15"/>
      <c r="C12" s="23"/>
      <c r="D12" s="24">
        <v>12788.54</v>
      </c>
      <c r="E12" s="24">
        <v>14670.76</v>
      </c>
      <c r="F12" s="24">
        <f t="shared" si="1"/>
        <v>27459.300000000003</v>
      </c>
      <c r="G12" s="26">
        <v>0</v>
      </c>
      <c r="H12" s="25">
        <v>2436</v>
      </c>
      <c r="I12" s="16">
        <f t="shared" si="0"/>
        <v>29895.300000000003</v>
      </c>
      <c r="J12"/>
      <c r="K12"/>
    </row>
    <row r="13" spans="1:11" ht="17.25">
      <c r="A13" s="27" t="s">
        <v>52</v>
      </c>
      <c r="B13" s="15"/>
      <c r="C13" s="16"/>
      <c r="D13" s="24">
        <v>-7769.12</v>
      </c>
      <c r="E13" s="24"/>
      <c r="F13" s="24">
        <f t="shared" si="1"/>
        <v>-7769.12</v>
      </c>
      <c r="G13" s="26">
        <v>-2000</v>
      </c>
      <c r="H13" s="25"/>
      <c r="I13" s="16">
        <f t="shared" si="0"/>
        <v>-9769.119999999999</v>
      </c>
      <c r="J13"/>
      <c r="K13"/>
    </row>
    <row r="14" spans="1:11" ht="51.75">
      <c r="A14" s="28" t="s">
        <v>55</v>
      </c>
      <c r="B14" s="15"/>
      <c r="C14" s="16"/>
      <c r="D14" s="24"/>
      <c r="E14" s="24"/>
      <c r="F14" s="24"/>
      <c r="G14" s="26"/>
      <c r="H14" s="25">
        <v>80000</v>
      </c>
      <c r="I14" s="16">
        <f t="shared" si="0"/>
        <v>80000</v>
      </c>
      <c r="J14"/>
      <c r="K14"/>
    </row>
    <row r="15" spans="1:11" ht="17.25">
      <c r="A15" s="17" t="s">
        <v>26</v>
      </c>
      <c r="B15" s="15"/>
      <c r="C15" s="23">
        <f>SUM(C6:C14)</f>
        <v>7922132.8399999999</v>
      </c>
      <c r="D15" s="18">
        <f>SUM(D6:D13)</f>
        <v>2134571.42</v>
      </c>
      <c r="E15" s="18">
        <f>SUM(E6:E12)</f>
        <v>2251260.4299999997</v>
      </c>
      <c r="F15" s="18">
        <f>SUM(F6:F13)</f>
        <v>4385831.8499999996</v>
      </c>
      <c r="G15" s="21">
        <f>SUM(G6:G13)</f>
        <v>1037295.91</v>
      </c>
      <c r="H15" s="22">
        <f>SUM(H6:H14)</f>
        <v>455827.71</v>
      </c>
      <c r="I15" s="23">
        <f t="shared" si="0"/>
        <v>5878955.4699999997</v>
      </c>
      <c r="J15"/>
      <c r="K15"/>
    </row>
    <row r="16" spans="1:11" ht="17.25">
      <c r="A16" s="15"/>
      <c r="B16" s="15"/>
      <c r="C16" s="15"/>
      <c r="D16" s="24"/>
      <c r="E16" s="24"/>
      <c r="F16" s="24"/>
      <c r="G16" s="26"/>
      <c r="H16" s="25"/>
      <c r="I16" s="15"/>
      <c r="J16"/>
      <c r="K16"/>
    </row>
    <row r="17" spans="1:12" ht="17.25">
      <c r="A17" s="17" t="s">
        <v>2</v>
      </c>
      <c r="B17" s="15"/>
      <c r="C17" s="15"/>
      <c r="D17" s="24"/>
      <c r="E17" s="24"/>
      <c r="F17" s="24"/>
      <c r="G17" s="26"/>
      <c r="H17" s="25"/>
      <c r="I17" s="15"/>
      <c r="J17"/>
      <c r="K17"/>
    </row>
    <row r="18" spans="1:12" ht="17.25">
      <c r="A18" s="15" t="s">
        <v>3</v>
      </c>
      <c r="B18" s="15"/>
      <c r="C18" s="16">
        <v>60000</v>
      </c>
      <c r="D18" s="24">
        <v>29132.46</v>
      </c>
      <c r="E18" s="24">
        <v>31940.880000000001</v>
      </c>
      <c r="F18" s="24">
        <f>D18+E18</f>
        <v>61073.34</v>
      </c>
      <c r="G18" s="26">
        <v>17011.080000000002</v>
      </c>
      <c r="H18" s="25">
        <v>6151.73</v>
      </c>
      <c r="I18" s="16">
        <f t="shared" ref="I18:I49" si="2">F18+G18+H18</f>
        <v>84236.15</v>
      </c>
      <c r="J18"/>
      <c r="K18"/>
    </row>
    <row r="19" spans="1:12" ht="17.25">
      <c r="A19" s="15" t="s">
        <v>4</v>
      </c>
      <c r="B19" s="15"/>
      <c r="C19" s="16">
        <v>480000</v>
      </c>
      <c r="D19" s="24">
        <v>120000</v>
      </c>
      <c r="E19" s="24">
        <v>120000</v>
      </c>
      <c r="F19" s="24">
        <f t="shared" ref="F19:F27" si="3">D19+E19</f>
        <v>240000</v>
      </c>
      <c r="G19" s="26">
        <v>40000</v>
      </c>
      <c r="H19" s="25">
        <v>40000</v>
      </c>
      <c r="I19" s="16">
        <f t="shared" si="2"/>
        <v>320000</v>
      </c>
      <c r="J19"/>
      <c r="K19"/>
    </row>
    <row r="20" spans="1:12" ht="17.25">
      <c r="A20" s="15" t="s">
        <v>5</v>
      </c>
      <c r="B20" s="15"/>
      <c r="C20" s="16">
        <v>1400033.45</v>
      </c>
      <c r="D20" s="24">
        <v>366783.45</v>
      </c>
      <c r="E20" s="24">
        <v>292589.23</v>
      </c>
      <c r="F20" s="24">
        <f t="shared" si="3"/>
        <v>659372.67999999993</v>
      </c>
      <c r="G20" s="26">
        <v>196792.44</v>
      </c>
      <c r="H20" s="25">
        <v>191953.35</v>
      </c>
      <c r="I20" s="16">
        <f t="shared" si="2"/>
        <v>1048118.4699999999</v>
      </c>
      <c r="J20"/>
      <c r="K20"/>
    </row>
    <row r="21" spans="1:12" ht="17.25">
      <c r="A21" s="15" t="s">
        <v>24</v>
      </c>
      <c r="B21" s="15"/>
      <c r="C21" s="16">
        <v>1041475.95</v>
      </c>
      <c r="D21" s="24">
        <v>175001.64</v>
      </c>
      <c r="E21" s="24">
        <v>0</v>
      </c>
      <c r="F21" s="24">
        <f t="shared" si="3"/>
        <v>175001.64</v>
      </c>
      <c r="G21" s="26"/>
      <c r="H21" s="25"/>
      <c r="I21" s="16">
        <f t="shared" si="2"/>
        <v>175001.64</v>
      </c>
      <c r="J21"/>
      <c r="K21"/>
    </row>
    <row r="22" spans="1:12" ht="17.25">
      <c r="A22" s="15" t="s">
        <v>6</v>
      </c>
      <c r="B22" s="15"/>
      <c r="C22" s="16">
        <v>630535.06999999995</v>
      </c>
      <c r="D22" s="24">
        <v>120157.56</v>
      </c>
      <c r="E22" s="24">
        <v>132504.59</v>
      </c>
      <c r="F22" s="24">
        <f t="shared" si="3"/>
        <v>252662.15</v>
      </c>
      <c r="G22" s="26">
        <v>28261.86</v>
      </c>
      <c r="H22" s="25">
        <v>31247.19</v>
      </c>
      <c r="I22" s="16">
        <f t="shared" si="2"/>
        <v>312171.2</v>
      </c>
      <c r="J22"/>
      <c r="K22"/>
    </row>
    <row r="23" spans="1:12" ht="17.25">
      <c r="A23" s="15" t="s">
        <v>43</v>
      </c>
      <c r="B23" s="15"/>
      <c r="C23" s="16">
        <v>1931064</v>
      </c>
      <c r="D23" s="24">
        <v>464510.93</v>
      </c>
      <c r="E23" s="24">
        <v>291264.76</v>
      </c>
      <c r="F23" s="24">
        <f t="shared" si="3"/>
        <v>755775.69</v>
      </c>
      <c r="G23" s="26">
        <v>223431.98</v>
      </c>
      <c r="H23" s="25">
        <v>56002.2</v>
      </c>
      <c r="I23" s="16">
        <f t="shared" si="2"/>
        <v>1035209.8699999999</v>
      </c>
      <c r="J23"/>
      <c r="K23"/>
    </row>
    <row r="24" spans="1:12" ht="17.25">
      <c r="A24" s="15" t="s">
        <v>44</v>
      </c>
      <c r="B24" s="15"/>
      <c r="C24" s="16">
        <v>583181.32999999996</v>
      </c>
      <c r="D24" s="24">
        <v>213092.12</v>
      </c>
      <c r="E24" s="24">
        <v>127965.14</v>
      </c>
      <c r="F24" s="24">
        <f t="shared" si="3"/>
        <v>341057.26</v>
      </c>
      <c r="G24" s="26">
        <v>127610.1</v>
      </c>
      <c r="H24" s="25">
        <v>8867</v>
      </c>
      <c r="I24" s="16">
        <f t="shared" si="2"/>
        <v>477534.36</v>
      </c>
      <c r="J24"/>
      <c r="K24"/>
    </row>
    <row r="25" spans="1:12" ht="17.25">
      <c r="A25" s="16" t="s">
        <v>29</v>
      </c>
      <c r="B25" s="15"/>
      <c r="C25" s="16">
        <v>24000</v>
      </c>
      <c r="D25" s="24">
        <v>0</v>
      </c>
      <c r="E25" s="24">
        <v>36600</v>
      </c>
      <c r="F25" s="24">
        <f t="shared" si="3"/>
        <v>36600</v>
      </c>
      <c r="G25" s="26"/>
      <c r="H25" s="25">
        <v>860</v>
      </c>
      <c r="I25" s="16">
        <f t="shared" si="2"/>
        <v>37460</v>
      </c>
      <c r="J25"/>
      <c r="K25"/>
    </row>
    <row r="26" spans="1:12" ht="17.25">
      <c r="A26" s="15" t="s">
        <v>7</v>
      </c>
      <c r="B26" s="15"/>
      <c r="C26" s="16">
        <v>15000</v>
      </c>
      <c r="D26" s="18">
        <v>24517.4</v>
      </c>
      <c r="E26" s="18">
        <v>6819.95</v>
      </c>
      <c r="F26" s="18">
        <f t="shared" si="3"/>
        <v>31337.350000000002</v>
      </c>
      <c r="G26" s="21">
        <f>1738+600+800</f>
        <v>3138</v>
      </c>
      <c r="H26" s="22">
        <f>1646+3383</f>
        <v>5029</v>
      </c>
      <c r="I26" s="16">
        <f t="shared" si="2"/>
        <v>39504.350000000006</v>
      </c>
      <c r="J26"/>
      <c r="K26"/>
    </row>
    <row r="27" spans="1:12" ht="17.25">
      <c r="A27" s="15" t="s">
        <v>8</v>
      </c>
      <c r="B27" s="15"/>
      <c r="C27" s="16">
        <v>15000</v>
      </c>
      <c r="D27" s="18">
        <v>2512.1999999999998</v>
      </c>
      <c r="E27" s="18">
        <v>1727.46</v>
      </c>
      <c r="F27" s="18">
        <f t="shared" si="3"/>
        <v>4239.66</v>
      </c>
      <c r="G27" s="21">
        <v>780</v>
      </c>
      <c r="H27" s="22">
        <v>780</v>
      </c>
      <c r="I27" s="16">
        <f t="shared" si="2"/>
        <v>5799.66</v>
      </c>
      <c r="J27"/>
      <c r="K27"/>
    </row>
    <row r="28" spans="1:12" ht="17.25">
      <c r="A28" s="15" t="s">
        <v>9</v>
      </c>
      <c r="B28" s="15"/>
      <c r="C28" s="16">
        <v>30000</v>
      </c>
      <c r="D28" s="18">
        <v>1023</v>
      </c>
      <c r="E28" s="18">
        <v>1023</v>
      </c>
      <c r="F28" s="18">
        <f t="shared" ref="F28:F29" si="4">D28+E28</f>
        <v>2046</v>
      </c>
      <c r="G28" s="21"/>
      <c r="H28" s="25"/>
      <c r="I28" s="16">
        <f t="shared" si="2"/>
        <v>2046</v>
      </c>
      <c r="J28"/>
      <c r="K28"/>
    </row>
    <row r="29" spans="1:12" ht="17.25">
      <c r="A29" s="15" t="s">
        <v>10</v>
      </c>
      <c r="B29" s="15"/>
      <c r="C29" s="16">
        <v>6000</v>
      </c>
      <c r="D29" s="18">
        <v>0</v>
      </c>
      <c r="E29" s="18">
        <v>0</v>
      </c>
      <c r="F29" s="18">
        <f t="shared" si="4"/>
        <v>0</v>
      </c>
      <c r="G29" s="21">
        <v>420.23</v>
      </c>
      <c r="H29" s="25"/>
      <c r="I29" s="16">
        <f t="shared" si="2"/>
        <v>420.23</v>
      </c>
      <c r="J29"/>
      <c r="K29"/>
    </row>
    <row r="30" spans="1:12" ht="30.6" customHeight="1">
      <c r="A30" s="29" t="s">
        <v>50</v>
      </c>
      <c r="B30" s="15"/>
      <c r="C30" s="16">
        <v>63590.239999999998</v>
      </c>
      <c r="D30" s="24">
        <v>23047.91</v>
      </c>
      <c r="E30" s="24">
        <v>71076.759999999995</v>
      </c>
      <c r="F30" s="24">
        <f t="shared" ref="F30:F31" si="5">D30+E30</f>
        <v>94124.67</v>
      </c>
      <c r="G30" s="26">
        <v>16209.73</v>
      </c>
      <c r="H30" s="25">
        <v>6112.73</v>
      </c>
      <c r="I30" s="16">
        <f t="shared" si="2"/>
        <v>116447.12999999999</v>
      </c>
      <c r="J30"/>
      <c r="K30"/>
    </row>
    <row r="31" spans="1:12" ht="17.25">
      <c r="A31" s="30" t="s">
        <v>58</v>
      </c>
      <c r="B31" s="15"/>
      <c r="C31" s="16">
        <v>64734.85</v>
      </c>
      <c r="D31" s="15">
        <v>0</v>
      </c>
      <c r="E31" s="15">
        <v>0</v>
      </c>
      <c r="F31" s="15">
        <f t="shared" si="5"/>
        <v>0</v>
      </c>
      <c r="G31" s="26">
        <v>0</v>
      </c>
      <c r="H31" s="25">
        <v>0</v>
      </c>
      <c r="I31" s="16">
        <f t="shared" si="2"/>
        <v>0</v>
      </c>
      <c r="J31" s="5"/>
      <c r="K31" s="5"/>
      <c r="L31" s="5"/>
    </row>
    <row r="32" spans="1:12" ht="28.5" customHeight="1">
      <c r="A32" s="27" t="s">
        <v>11</v>
      </c>
      <c r="B32" s="15"/>
      <c r="C32" s="16">
        <v>100000</v>
      </c>
      <c r="D32" s="24">
        <v>10007</v>
      </c>
      <c r="E32" s="24">
        <v>44975</v>
      </c>
      <c r="F32" s="24">
        <f t="shared" ref="F32:F44" si="6">D32+E32</f>
        <v>54982</v>
      </c>
      <c r="G32" s="26">
        <v>23481</v>
      </c>
      <c r="H32" s="25">
        <v>12433</v>
      </c>
      <c r="I32" s="16">
        <f t="shared" si="2"/>
        <v>90896</v>
      </c>
      <c r="J32" s="5"/>
      <c r="K32" s="5"/>
      <c r="L32" s="5"/>
    </row>
    <row r="33" spans="1:14" ht="17.25">
      <c r="A33" s="27" t="s">
        <v>14</v>
      </c>
      <c r="B33" s="15"/>
      <c r="C33" s="16">
        <v>95000</v>
      </c>
      <c r="D33" s="24">
        <v>58671</v>
      </c>
      <c r="E33" s="24">
        <v>121998</v>
      </c>
      <c r="F33" s="24">
        <f t="shared" si="6"/>
        <v>180669</v>
      </c>
      <c r="G33" s="26">
        <v>0</v>
      </c>
      <c r="H33" s="25">
        <v>0</v>
      </c>
      <c r="I33" s="16">
        <f t="shared" si="2"/>
        <v>180669</v>
      </c>
      <c r="J33"/>
      <c r="K33"/>
    </row>
    <row r="34" spans="1:14" ht="33" customHeight="1">
      <c r="A34" s="15" t="s">
        <v>12</v>
      </c>
      <c r="B34" s="15"/>
      <c r="C34" s="16">
        <v>50080</v>
      </c>
      <c r="D34" s="24">
        <v>50000</v>
      </c>
      <c r="E34" s="24">
        <v>0</v>
      </c>
      <c r="F34" s="24">
        <f t="shared" si="6"/>
        <v>50000</v>
      </c>
      <c r="G34" s="26">
        <v>0</v>
      </c>
      <c r="H34" s="25">
        <v>0</v>
      </c>
      <c r="I34" s="16">
        <f t="shared" si="2"/>
        <v>50000</v>
      </c>
      <c r="J34"/>
      <c r="K34"/>
      <c r="N34" s="1"/>
    </row>
    <row r="35" spans="1:14" ht="31.5" customHeight="1">
      <c r="A35" s="29" t="s">
        <v>53</v>
      </c>
      <c r="B35" s="15"/>
      <c r="C35" s="16">
        <v>70000</v>
      </c>
      <c r="D35" s="24">
        <v>50722</v>
      </c>
      <c r="E35" s="24">
        <v>31700</v>
      </c>
      <c r="F35" s="24">
        <f t="shared" si="6"/>
        <v>82422</v>
      </c>
      <c r="G35" s="26"/>
      <c r="H35" s="25"/>
      <c r="I35" s="16">
        <f t="shared" si="2"/>
        <v>82422</v>
      </c>
      <c r="J35"/>
      <c r="K35"/>
      <c r="N35" s="1"/>
    </row>
    <row r="36" spans="1:14" ht="34.5">
      <c r="A36" s="29" t="s">
        <v>33</v>
      </c>
      <c r="B36" s="15"/>
      <c r="C36" s="16">
        <v>240000</v>
      </c>
      <c r="D36" s="24">
        <v>120000</v>
      </c>
      <c r="E36" s="24">
        <v>0</v>
      </c>
      <c r="F36" s="24">
        <f t="shared" si="6"/>
        <v>120000</v>
      </c>
      <c r="G36" s="26">
        <v>0</v>
      </c>
      <c r="H36" s="25">
        <v>64000</v>
      </c>
      <c r="I36" s="16">
        <f t="shared" si="2"/>
        <v>184000</v>
      </c>
      <c r="J36"/>
      <c r="K36"/>
      <c r="N36" s="1"/>
    </row>
    <row r="37" spans="1:14" ht="17.25">
      <c r="A37" s="15" t="s">
        <v>13</v>
      </c>
      <c r="B37" s="15"/>
      <c r="C37" s="16">
        <v>50000</v>
      </c>
      <c r="D37" s="24">
        <v>0</v>
      </c>
      <c r="E37" s="24">
        <v>0</v>
      </c>
      <c r="F37" s="24">
        <f t="shared" si="6"/>
        <v>0</v>
      </c>
      <c r="G37" s="26"/>
      <c r="H37" s="25"/>
      <c r="I37" s="16">
        <f t="shared" si="2"/>
        <v>0</v>
      </c>
      <c r="J37"/>
      <c r="K37"/>
      <c r="N37" s="3"/>
    </row>
    <row r="38" spans="1:14" ht="17.25">
      <c r="A38" s="15" t="s">
        <v>15</v>
      </c>
      <c r="B38" s="15"/>
      <c r="C38" s="16">
        <v>240000</v>
      </c>
      <c r="D38" s="24">
        <v>0</v>
      </c>
      <c r="E38" s="24">
        <v>0</v>
      </c>
      <c r="F38" s="24">
        <f t="shared" si="6"/>
        <v>0</v>
      </c>
      <c r="G38" s="26"/>
      <c r="H38" s="25"/>
      <c r="I38" s="16">
        <f t="shared" si="2"/>
        <v>0</v>
      </c>
      <c r="J38"/>
      <c r="K38"/>
    </row>
    <row r="39" spans="1:14" ht="28.5" customHeight="1">
      <c r="A39" s="15" t="s">
        <v>16</v>
      </c>
      <c r="B39" s="15"/>
      <c r="C39" s="16">
        <v>60000</v>
      </c>
      <c r="D39" s="24">
        <v>0</v>
      </c>
      <c r="E39" s="24">
        <v>0</v>
      </c>
      <c r="F39" s="24">
        <f t="shared" si="6"/>
        <v>0</v>
      </c>
      <c r="G39" s="26"/>
      <c r="H39" s="25"/>
      <c r="I39" s="16">
        <f t="shared" si="2"/>
        <v>0</v>
      </c>
      <c r="J39"/>
      <c r="K39"/>
    </row>
    <row r="40" spans="1:14" ht="32.450000000000003" customHeight="1">
      <c r="A40" s="15" t="s">
        <v>17</v>
      </c>
      <c r="B40" s="15"/>
      <c r="C40" s="16">
        <v>100000</v>
      </c>
      <c r="D40" s="24">
        <v>0</v>
      </c>
      <c r="E40" s="24">
        <v>0</v>
      </c>
      <c r="F40" s="24">
        <f t="shared" si="6"/>
        <v>0</v>
      </c>
      <c r="G40" s="26"/>
      <c r="H40" s="25"/>
      <c r="I40" s="16">
        <f t="shared" si="2"/>
        <v>0</v>
      </c>
      <c r="J40"/>
      <c r="K40"/>
    </row>
    <row r="41" spans="1:14" ht="34.5">
      <c r="A41" s="29" t="s">
        <v>18</v>
      </c>
      <c r="B41" s="15"/>
      <c r="C41" s="16">
        <v>50000</v>
      </c>
      <c r="D41" s="24">
        <v>0</v>
      </c>
      <c r="E41" s="24">
        <v>0</v>
      </c>
      <c r="F41" s="24">
        <f t="shared" si="6"/>
        <v>0</v>
      </c>
      <c r="G41" s="26"/>
      <c r="H41" s="25"/>
      <c r="I41" s="16">
        <f t="shared" si="2"/>
        <v>0</v>
      </c>
      <c r="J41"/>
      <c r="K41"/>
    </row>
    <row r="42" spans="1:14" ht="17.25">
      <c r="A42" s="15" t="s">
        <v>25</v>
      </c>
      <c r="B42" s="15"/>
      <c r="C42" s="16">
        <f>10000+1518.75+13610.88</f>
        <v>25129.629999999997</v>
      </c>
      <c r="D42" s="24">
        <v>4224</v>
      </c>
      <c r="E42" s="24">
        <v>2813</v>
      </c>
      <c r="F42" s="24">
        <f t="shared" si="6"/>
        <v>7037</v>
      </c>
      <c r="G42" s="26"/>
      <c r="H42" s="25"/>
      <c r="I42" s="16">
        <f t="shared" si="2"/>
        <v>7037</v>
      </c>
      <c r="J42"/>
      <c r="K42"/>
    </row>
    <row r="43" spans="1:14" ht="17.25">
      <c r="A43" s="15" t="s">
        <v>19</v>
      </c>
      <c r="B43" s="15"/>
      <c r="C43" s="16">
        <v>35000</v>
      </c>
      <c r="D43" s="24">
        <v>7048</v>
      </c>
      <c r="E43" s="24">
        <v>0</v>
      </c>
      <c r="F43" s="24">
        <f t="shared" si="6"/>
        <v>7048</v>
      </c>
      <c r="G43" s="9"/>
      <c r="H43" s="25"/>
      <c r="I43" s="16">
        <f t="shared" si="2"/>
        <v>7048</v>
      </c>
      <c r="J43"/>
      <c r="K43"/>
    </row>
    <row r="44" spans="1:14" ht="17.25">
      <c r="A44" s="15" t="s">
        <v>20</v>
      </c>
      <c r="B44" s="15"/>
      <c r="C44" s="16">
        <v>300000</v>
      </c>
      <c r="D44" s="24">
        <v>147410</v>
      </c>
      <c r="E44" s="24">
        <v>145000</v>
      </c>
      <c r="F44" s="24">
        <f t="shared" si="6"/>
        <v>292410</v>
      </c>
      <c r="G44" s="26">
        <v>200000</v>
      </c>
      <c r="H44" s="25"/>
      <c r="I44" s="16">
        <f t="shared" si="2"/>
        <v>492410</v>
      </c>
      <c r="J44"/>
      <c r="K44"/>
    </row>
    <row r="45" spans="1:14" ht="17.25">
      <c r="A45" s="31" t="s">
        <v>59</v>
      </c>
      <c r="B45" s="15"/>
      <c r="C45" s="23">
        <v>7695089.6699999999</v>
      </c>
      <c r="D45" s="23">
        <f>SUM(D18:D44)</f>
        <v>1987860.67</v>
      </c>
      <c r="E45" s="23">
        <f t="shared" ref="E45:H45" si="7">SUM(E18:E44)</f>
        <v>1459997.7699999998</v>
      </c>
      <c r="F45" s="23">
        <f t="shared" si="7"/>
        <v>3447858.44</v>
      </c>
      <c r="G45" s="21">
        <f t="shared" si="7"/>
        <v>877136.41999999993</v>
      </c>
      <c r="H45" s="22">
        <f t="shared" si="7"/>
        <v>423436.2</v>
      </c>
      <c r="I45" s="23">
        <f t="shared" si="2"/>
        <v>4748431.0599999996</v>
      </c>
      <c r="J45"/>
      <c r="K45"/>
    </row>
    <row r="46" spans="1:14" ht="17.25">
      <c r="A46" s="31" t="s">
        <v>22</v>
      </c>
      <c r="B46" s="32"/>
      <c r="C46" s="15"/>
      <c r="D46" s="15"/>
      <c r="E46" s="15"/>
      <c r="F46" s="15"/>
      <c r="G46" s="26"/>
      <c r="H46" s="25"/>
      <c r="I46" s="15"/>
      <c r="J46"/>
      <c r="K46"/>
    </row>
    <row r="47" spans="1:14" ht="17.25">
      <c r="A47" s="33" t="s">
        <v>21</v>
      </c>
      <c r="B47" s="15"/>
      <c r="C47" s="16">
        <f>973000+75000</f>
        <v>1048000</v>
      </c>
      <c r="D47" s="24">
        <f>F47</f>
        <v>978774.47</v>
      </c>
      <c r="E47" s="24">
        <v>0</v>
      </c>
      <c r="F47" s="24">
        <v>978774.47</v>
      </c>
      <c r="G47" s="26"/>
      <c r="H47" s="25"/>
      <c r="I47" s="16">
        <f t="shared" si="2"/>
        <v>978774.47</v>
      </c>
      <c r="J47"/>
      <c r="K47"/>
    </row>
    <row r="48" spans="1:14" ht="17.25">
      <c r="A48" s="34" t="s">
        <v>35</v>
      </c>
      <c r="B48" s="16"/>
      <c r="C48" s="35">
        <f>3.21*311293.48</f>
        <v>999252.07079999999</v>
      </c>
      <c r="D48" s="24">
        <f>F48</f>
        <v>765255.6</v>
      </c>
      <c r="E48" s="24">
        <v>0</v>
      </c>
      <c r="F48" s="24">
        <v>765255.6</v>
      </c>
      <c r="G48" s="26"/>
      <c r="H48" s="25"/>
      <c r="I48" s="16">
        <f t="shared" si="2"/>
        <v>765255.6</v>
      </c>
      <c r="J48"/>
      <c r="K48"/>
    </row>
    <row r="49" spans="1:20" ht="17.25">
      <c r="A49" s="33" t="s">
        <v>23</v>
      </c>
      <c r="B49" s="7"/>
      <c r="C49" s="16">
        <v>420000</v>
      </c>
      <c r="D49" s="24">
        <v>20000</v>
      </c>
      <c r="E49" s="24">
        <v>0</v>
      </c>
      <c r="F49" s="24">
        <v>20000</v>
      </c>
      <c r="G49" s="26"/>
      <c r="H49" s="25"/>
      <c r="I49" s="16">
        <f t="shared" si="2"/>
        <v>20000</v>
      </c>
      <c r="J49"/>
      <c r="K49"/>
    </row>
    <row r="50" spans="1:20" ht="17.25">
      <c r="A50" s="17" t="s">
        <v>62</v>
      </c>
      <c r="B50" s="15"/>
      <c r="C50" s="15"/>
      <c r="D50" s="18">
        <f>D45+D47+D48+D49</f>
        <v>3751890.7399999998</v>
      </c>
      <c r="E50" s="18">
        <f t="shared" ref="E50:I50" si="8">E45+E47+E48+E49</f>
        <v>1459997.7699999998</v>
      </c>
      <c r="F50" s="18">
        <f t="shared" si="8"/>
        <v>5211888.51</v>
      </c>
      <c r="G50" s="18">
        <f t="shared" si="8"/>
        <v>877136.41999999993</v>
      </c>
      <c r="H50" s="18">
        <f t="shared" si="8"/>
        <v>423436.2</v>
      </c>
      <c r="I50" s="18">
        <f t="shared" si="8"/>
        <v>6512461.129999999</v>
      </c>
      <c r="J50"/>
      <c r="K50"/>
    </row>
    <row r="51" spans="1:20" ht="17.25">
      <c r="A51" s="33" t="s">
        <v>63</v>
      </c>
      <c r="B51" s="15"/>
      <c r="C51" s="15"/>
      <c r="D51" s="24">
        <f t="shared" ref="D51:I51" si="9">D3+D15-D50</f>
        <v>-1099377.02</v>
      </c>
      <c r="E51" s="24">
        <f t="shared" si="9"/>
        <v>-308114.3600000001</v>
      </c>
      <c r="F51" s="24">
        <f t="shared" si="9"/>
        <v>-308114.36000000034</v>
      </c>
      <c r="G51" s="26">
        <f t="shared" si="9"/>
        <v>-147954.87000000023</v>
      </c>
      <c r="H51" s="25">
        <f t="shared" si="9"/>
        <v>-115563.36000000022</v>
      </c>
      <c r="I51" s="16">
        <f t="shared" si="9"/>
        <v>-115563.3599999994</v>
      </c>
      <c r="J51"/>
      <c r="K51"/>
      <c r="O51" s="2"/>
      <c r="P51" s="2"/>
      <c r="Q51" s="2"/>
    </row>
    <row r="52" spans="1:20" ht="51.75">
      <c r="A52" s="36" t="s">
        <v>54</v>
      </c>
      <c r="B52" s="36"/>
      <c r="C52" s="37"/>
      <c r="D52" s="11">
        <f>D51+1800000</f>
        <v>700622.98</v>
      </c>
      <c r="E52" s="11">
        <f>D52+E15+2000000-E50-2400000</f>
        <v>1091885.6400000006</v>
      </c>
      <c r="F52" s="11">
        <f>D3+F15-F50+1800000-400000</f>
        <v>1091885.6399999997</v>
      </c>
      <c r="G52" s="12">
        <f>F52+G15-G50+1400000-1500000</f>
        <v>1152045.1299999999</v>
      </c>
      <c r="H52" s="12">
        <f>G52+H15-H50+1500000-2000000</f>
        <v>684436.63999999966</v>
      </c>
      <c r="I52" s="38" t="s">
        <v>56</v>
      </c>
      <c r="J52"/>
      <c r="K52"/>
      <c r="O52" s="2"/>
      <c r="P52" s="2"/>
      <c r="Q52" s="2"/>
    </row>
    <row r="53" spans="1:20" ht="17.25">
      <c r="A53" s="7"/>
      <c r="B53" s="7"/>
      <c r="C53" s="7"/>
      <c r="D53" s="7"/>
      <c r="E53" s="7"/>
      <c r="F53" s="7"/>
      <c r="G53" s="11"/>
      <c r="H53" s="11"/>
      <c r="I53" s="10"/>
      <c r="J53" s="4"/>
      <c r="K53" s="4"/>
      <c r="R53" s="2"/>
      <c r="S53" s="2"/>
      <c r="T53" s="2"/>
    </row>
    <row r="54" spans="1:20" ht="17.25">
      <c r="A54" s="15"/>
      <c r="B54" s="15"/>
      <c r="C54" s="16"/>
      <c r="D54" s="7"/>
      <c r="E54" s="39" t="s">
        <v>64</v>
      </c>
      <c r="F54" s="40"/>
      <c r="G54" s="41">
        <v>2509270.1</v>
      </c>
      <c r="H54" s="9"/>
      <c r="I54" s="9"/>
    </row>
    <row r="55" spans="1:20" ht="17.25">
      <c r="A55" s="42" t="s">
        <v>30</v>
      </c>
      <c r="B55" s="43"/>
      <c r="C55" s="16">
        <f>313933*2.06*3</f>
        <v>1940105.94</v>
      </c>
      <c r="D55" s="7"/>
      <c r="E55" s="15" t="s">
        <v>65</v>
      </c>
      <c r="F55" s="15"/>
      <c r="G55" s="44">
        <v>978774.47</v>
      </c>
      <c r="H55" s="9"/>
      <c r="I55" s="9"/>
    </row>
    <row r="56" spans="1:20" ht="17.25">
      <c r="A56" s="42" t="s">
        <v>31</v>
      </c>
      <c r="B56" s="43"/>
      <c r="C56" s="45">
        <f>2.43778742*313933</f>
        <v>765301.9181228599</v>
      </c>
      <c r="D56" s="7"/>
      <c r="E56" s="46" t="s">
        <v>66</v>
      </c>
      <c r="F56" s="47"/>
      <c r="G56" s="44">
        <v>765255.6</v>
      </c>
      <c r="H56" s="9"/>
      <c r="I56" s="9"/>
    </row>
    <row r="57" spans="1:20" ht="17.25">
      <c r="A57" s="42" t="s">
        <v>32</v>
      </c>
      <c r="B57" s="43"/>
      <c r="C57" s="15"/>
      <c r="D57" s="7"/>
      <c r="E57" s="42" t="s">
        <v>67</v>
      </c>
      <c r="F57" s="43"/>
      <c r="G57" s="44">
        <v>534367.5</v>
      </c>
      <c r="H57" s="9"/>
      <c r="I57" s="9"/>
    </row>
    <row r="58" spans="1:20" ht="17.25">
      <c r="A58" s="7"/>
      <c r="B58" s="7"/>
      <c r="C58" s="7"/>
      <c r="D58" s="7"/>
      <c r="E58" s="42" t="s">
        <v>68</v>
      </c>
      <c r="F58" s="43"/>
      <c r="G58" s="44">
        <v>1400000</v>
      </c>
      <c r="H58" s="9"/>
      <c r="I58" s="9"/>
    </row>
    <row r="59" spans="1:20" ht="17.25">
      <c r="A59" s="15" t="s">
        <v>46</v>
      </c>
      <c r="B59" s="15"/>
      <c r="C59" s="16">
        <v>470500</v>
      </c>
      <c r="D59" s="7"/>
      <c r="E59" s="39" t="s">
        <v>69</v>
      </c>
      <c r="F59" s="40"/>
      <c r="G59" s="23">
        <f>G54-G55-G56+G57-G58</f>
        <v>-100392.46999999974</v>
      </c>
      <c r="H59" s="9"/>
      <c r="I59" s="9"/>
    </row>
    <row r="60" spans="1:20" ht="17.25">
      <c r="A60" s="15" t="s">
        <v>45</v>
      </c>
      <c r="B60" s="15"/>
      <c r="C60" s="16">
        <v>351274.44</v>
      </c>
      <c r="D60" s="7"/>
      <c r="E60" s="7"/>
      <c r="F60" s="7"/>
      <c r="G60" s="9"/>
      <c r="H60" s="9"/>
      <c r="I60" s="9"/>
    </row>
    <row r="61" spans="1:20" ht="17.25">
      <c r="A61" s="15" t="s">
        <v>47</v>
      </c>
      <c r="B61" s="15"/>
      <c r="C61" s="16">
        <v>405500</v>
      </c>
      <c r="D61" s="7"/>
      <c r="E61" s="7"/>
      <c r="F61" s="7"/>
      <c r="G61" s="9"/>
      <c r="H61" s="9"/>
      <c r="I61" s="9"/>
    </row>
    <row r="62" spans="1:20" ht="17.25">
      <c r="A62" s="15" t="s">
        <v>45</v>
      </c>
      <c r="B62" s="15"/>
      <c r="C62" s="16">
        <v>314684</v>
      </c>
      <c r="D62" s="7"/>
      <c r="E62" s="7"/>
      <c r="F62" s="7"/>
      <c r="G62" s="9"/>
      <c r="H62" s="9"/>
      <c r="I62" s="9"/>
    </row>
    <row r="63" spans="1:20" ht="18.75">
      <c r="A63" s="48"/>
      <c r="B63" s="48"/>
      <c r="C63" s="48"/>
      <c r="D63" s="48"/>
      <c r="E63" s="48"/>
      <c r="F63" s="48"/>
      <c r="G63" s="49"/>
      <c r="H63" s="49"/>
      <c r="I63" s="49"/>
    </row>
  </sheetData>
  <mergeCells count="9">
    <mergeCell ref="A52:B52"/>
    <mergeCell ref="E54:F54"/>
    <mergeCell ref="E56:F56"/>
    <mergeCell ref="E57:F57"/>
    <mergeCell ref="E58:F58"/>
    <mergeCell ref="E59:F59"/>
    <mergeCell ref="A56:B56"/>
    <mergeCell ref="A57:B57"/>
    <mergeCell ref="A55:B55"/>
  </mergeCells>
  <pageMargins left="0.7" right="0.7" top="0.75" bottom="0.75" header="0.3" footer="0.3"/>
  <pageSetup paperSize="9" scale="53" orientation="landscape" r:id="rId1"/>
  <rowBreaks count="1" manualBreakCount="1">
    <brk id="62" max="14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исп сметы</vt:lpstr>
      <vt:lpstr>Лист2</vt:lpstr>
      <vt:lpstr>Лист3</vt:lpstr>
      <vt:lpstr>'исп сметы'!Область_печати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Филатов</dc:creator>
  <cp:lastModifiedBy>Валерий Филатов</cp:lastModifiedBy>
  <cp:lastPrinted>2026-06-12T20:23:39Z</cp:lastPrinted>
  <dcterms:created xsi:type="dcterms:W3CDTF">2026-04-27T12:03:38Z</dcterms:created>
  <dcterms:modified xsi:type="dcterms:W3CDTF">2026-06-14T18:49:48Z</dcterms:modified>
</cp:coreProperties>
</file>