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6" i="1" l="1"/>
  <c r="B165" i="1"/>
  <c r="B164" i="1"/>
  <c r="B163" i="1"/>
  <c r="B162" i="1"/>
  <c r="B160" i="1"/>
  <c r="B159" i="1"/>
  <c r="B158" i="1"/>
  <c r="B168" i="1" s="1"/>
  <c r="B153" i="1"/>
  <c r="B152" i="1"/>
  <c r="B151" i="1"/>
  <c r="B148" i="1"/>
  <c r="B147" i="1"/>
  <c r="B155" i="1" s="1"/>
  <c r="B143" i="1"/>
  <c r="B140" i="1"/>
  <c r="B139" i="1"/>
  <c r="B135" i="1"/>
  <c r="B134" i="1"/>
  <c r="B133" i="1"/>
  <c r="B132" i="1"/>
  <c r="B131" i="1"/>
  <c r="B144" i="1" s="1"/>
  <c r="B125" i="1"/>
  <c r="B123" i="1"/>
  <c r="B122" i="1"/>
  <c r="B121" i="1"/>
  <c r="B118" i="1"/>
  <c r="B117" i="1"/>
  <c r="B127" i="1" s="1"/>
  <c r="B113" i="1"/>
  <c r="B110" i="1"/>
  <c r="B109" i="1"/>
  <c r="B108" i="1"/>
  <c r="B107" i="1"/>
  <c r="B106" i="1"/>
  <c r="B105" i="1"/>
  <c r="B104" i="1"/>
  <c r="B114" i="1" s="1"/>
  <c r="B100" i="1"/>
  <c r="B97" i="1"/>
  <c r="B96" i="1"/>
  <c r="B92" i="1"/>
  <c r="B91" i="1"/>
  <c r="B90" i="1"/>
  <c r="B101" i="1" s="1"/>
  <c r="B86" i="1"/>
  <c r="B82" i="1"/>
  <c r="B81" i="1"/>
  <c r="B79" i="1"/>
  <c r="B78" i="1"/>
  <c r="B77" i="1"/>
  <c r="B87" i="1" s="1"/>
  <c r="B72" i="1"/>
  <c r="B69" i="1"/>
  <c r="B67" i="1"/>
  <c r="B66" i="1"/>
  <c r="B65" i="1"/>
  <c r="B74" i="1" s="1"/>
  <c r="B57" i="1"/>
  <c r="B56" i="1"/>
  <c r="B52" i="1"/>
  <c r="B50" i="1"/>
  <c r="B49" i="1"/>
  <c r="B61" i="1" s="1"/>
  <c r="B45" i="1"/>
  <c r="B44" i="1"/>
  <c r="B43" i="1"/>
  <c r="B42" i="1"/>
  <c r="B40" i="1"/>
  <c r="B39" i="1"/>
  <c r="B37" i="1"/>
  <c r="B36" i="1"/>
  <c r="B35" i="1"/>
  <c r="B34" i="1"/>
  <c r="B46" i="1" s="1"/>
  <c r="B26" i="1"/>
  <c r="B23" i="1"/>
  <c r="B21" i="1"/>
  <c r="B20" i="1"/>
  <c r="B19" i="1"/>
  <c r="B18" i="1"/>
  <c r="B17" i="1"/>
  <c r="B16" i="1"/>
  <c r="B30" i="1" s="1"/>
  <c r="B13" i="1"/>
  <c r="B9" i="1"/>
  <c r="B6" i="1"/>
  <c r="B5" i="1"/>
  <c r="B4" i="1"/>
  <c r="B3" i="1"/>
  <c r="B14" i="1" s="1"/>
  <c r="B128" i="1" s="1"/>
  <c r="B169" i="1" s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sz val="9"/>
            <color indexed="81"/>
            <rFont val="Tahoma"/>
            <family val="2"/>
            <charset val="204"/>
          </rPr>
          <t xml:space="preserve">
моб связь бух, председ была оплачена 30.12.2020</t>
        </r>
      </text>
    </comment>
    <comment ref="B16" authorId="0">
      <text>
        <r>
          <rPr>
            <sz val="10"/>
            <color rgb="FF000000"/>
            <rFont val="Calibri"/>
            <family val="2"/>
            <charset val="204"/>
            <scheme val="minor"/>
          </rPr>
          <t>======
ID#AAAAU67pbhk
    (2022-02-19 10:41:32)
В феврале списали за январское обслуживание
	-Oxana Semenova</t>
        </r>
      </text>
    </comment>
    <comment ref="B81" authorId="0">
      <text>
        <r>
          <rPr>
            <sz val="10"/>
            <color rgb="FF000000"/>
            <rFont val="Calibri"/>
            <family val="2"/>
            <charset val="204"/>
            <scheme val="minor"/>
          </rPr>
          <t>======
ID#AAAAU67pbhQ
    (2022-02-19 10:41:32)
2000 на ДТ для вывоза мусора своими средствами, учтены в ТБО
	-Oxana Semenova</t>
        </r>
      </text>
    </comment>
    <comment ref="B96" authorId="0">
      <text>
        <r>
          <rPr>
            <sz val="10"/>
            <color rgb="FF000000"/>
            <rFont val="Calibri"/>
            <family val="2"/>
            <charset val="204"/>
            <scheme val="minor"/>
          </rPr>
          <t>======
ID#AAAAU67pbhY
    (2022-02-19 10:41:32)
1000р доставка материалов под освещение
	-Oxana Semenova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04"/>
          </rPr>
          <t>моб связь факт оплачена в октябре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18" authorId="0">
      <text>
        <r>
          <rPr>
            <b/>
            <sz val="9"/>
            <color indexed="81"/>
            <rFont val="Tahoma"/>
            <family val="2"/>
            <charset val="204"/>
          </rPr>
          <t>моб связь факт оплачена в октябре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66" authorId="0">
      <text>
        <r>
          <rPr>
            <sz val="10"/>
            <color rgb="FF000000"/>
            <rFont val="Calibri"/>
            <family val="2"/>
            <charset val="204"/>
            <scheme val="minor"/>
          </rPr>
          <t>======
ID#AAAAaklPnvg
Бухгалтер СНТ Дружба    (2022-06-05 11:14:21)
Налог УСНО 4 кв 2021г факт оплачен в марте 2022г; водный налог за 4 кв 2021г факт оплачен в январе 2022г.</t>
        </r>
      </text>
    </comment>
  </commentList>
</comments>
</file>

<file path=xl/sharedStrings.xml><?xml version="1.0" encoding="utf-8"?>
<sst xmlns="http://schemas.openxmlformats.org/spreadsheetml/2006/main" count="168" uniqueCount="72">
  <si>
    <t>Январь</t>
  </si>
  <si>
    <t>Услуги банка</t>
  </si>
  <si>
    <t>Заработная плата, налоги, взносы</t>
  </si>
  <si>
    <t>Услуги связи</t>
  </si>
  <si>
    <t>Газ горючий для отопления мест общего пользования</t>
  </si>
  <si>
    <t>Транспортные расходы</t>
  </si>
  <si>
    <t>Юридические услуги (нет документов)</t>
  </si>
  <si>
    <t>ГСМ трактор</t>
  </si>
  <si>
    <t>Прочие расходы</t>
  </si>
  <si>
    <t>Услуги по созданию, поддержанию работоспособности сайта</t>
  </si>
  <si>
    <t>Почтовые расходы</t>
  </si>
  <si>
    <t>Ремонт трактор (запчасти, жидкости и пр.)</t>
  </si>
  <si>
    <t>ИТОГО</t>
  </si>
  <si>
    <t>Февраль</t>
  </si>
  <si>
    <t>защитное ограждение грп, материалы для сети газопотребления</t>
  </si>
  <si>
    <t>Транспортные расходы, доставка</t>
  </si>
  <si>
    <t>Канцелярские товары</t>
  </si>
  <si>
    <t>Ремонт шлагбаума и въездной группы</t>
  </si>
  <si>
    <t>Ремонт трактор (работа, запчасти, жидкости и пр.)</t>
  </si>
  <si>
    <t>Благоустройство, оплата за уборку снега</t>
  </si>
  <si>
    <t>Хозрасходы</t>
  </si>
  <si>
    <t>Март</t>
  </si>
  <si>
    <t>Электроэнергия</t>
  </si>
  <si>
    <t>Доп страхование сети газопотребления, отчет ОПО сети газопротребления</t>
  </si>
  <si>
    <t>Сопровождение, обслуживание, поддержание работоспособности базы 1С, ЭЦП, ПО</t>
  </si>
  <si>
    <t>Запрос выписок из ЕГРН по должникам</t>
  </si>
  <si>
    <t>Апрель</t>
  </si>
  <si>
    <t>Налог в связи с применением УСНО</t>
  </si>
  <si>
    <t>Анализ воды в скважинах</t>
  </si>
  <si>
    <t>Летний водопровод (обслуживание, ремонт и пр)</t>
  </si>
  <si>
    <t>Канцелярские товары, полиграфия, картриджы в принтер правления</t>
  </si>
  <si>
    <t>Ремонт ГРП, сварочные работы</t>
  </si>
  <si>
    <t>Сопровождение, обслуживание, поддержание работоспособности базы 1С, ЭЦП, ЭДО, отчетность</t>
  </si>
  <si>
    <t>Май</t>
  </si>
  <si>
    <t>вывоз мусора с поля за счет целевых</t>
  </si>
  <si>
    <t>Ремонт ГРП</t>
  </si>
  <si>
    <t>Ремонт и техническое обслуживание гидроузлов, летнего водопровода</t>
  </si>
  <si>
    <t>Благоустройство, планировка грунта и пр.</t>
  </si>
  <si>
    <t>Материалы для ремота колодца у правления, помещения правления, подготовка магазина для работы, прочие расходы</t>
  </si>
  <si>
    <t>Хозрасходы, в т.ч. для ремонта колодца, помещения правления, подготовки магазина к работе</t>
  </si>
  <si>
    <t>Июнь</t>
  </si>
  <si>
    <t>Благоустройство, планировка грунта, установка ограждения трансформаторной подстанции (материалы и услуги) и пр.</t>
  </si>
  <si>
    <t>ГСМ</t>
  </si>
  <si>
    <t>ГСМ ДТ</t>
  </si>
  <si>
    <t xml:space="preserve">Пульты к шлагбауму и их настройка </t>
  </si>
  <si>
    <t>Июль</t>
  </si>
  <si>
    <t>Налог в связи с применением УСНО, водный налог на скважины</t>
  </si>
  <si>
    <t>Страхование сети газопотребления</t>
  </si>
  <si>
    <t>Определение залегания интернет кабеля</t>
  </si>
  <si>
    <t xml:space="preserve">ГСМ </t>
  </si>
  <si>
    <t>Общехозяйственные расходы (ГСМ для тримера, обустройство санитарной зоны и пр)</t>
  </si>
  <si>
    <t>Август</t>
  </si>
  <si>
    <t>Благоустройство (в т.ч. бензин для газонокосилки)</t>
  </si>
  <si>
    <t>Зеркала уличные, дорожные знаки</t>
  </si>
  <si>
    <t>Сентябрь</t>
  </si>
  <si>
    <t>Канцтовары</t>
  </si>
  <si>
    <t>Материалы для ремота помещения правления, магазина</t>
  </si>
  <si>
    <t>Общехозяйственные расходы (обустройство санитарной зоны, ограждение трансформаторной подстанции и пр)</t>
  </si>
  <si>
    <t>Экспертиза дорожного полотна центральной линии</t>
  </si>
  <si>
    <t>ИТОГО за 9 месяцев 2021</t>
  </si>
  <si>
    <t>Октябрь</t>
  </si>
  <si>
    <t>Канцелярские товары, картридж в правление</t>
  </si>
  <si>
    <t>Настройка пультов от шлагбаума</t>
  </si>
  <si>
    <t>Благоустройство за лето 2021, планировка грунта</t>
  </si>
  <si>
    <t>Ремонт кровли помещения магазина и правления</t>
  </si>
  <si>
    <t>Воздуховод в ГРП</t>
  </si>
  <si>
    <t>Подготовка к ОС (изготовление скамеек)</t>
  </si>
  <si>
    <t>Ноябрь</t>
  </si>
  <si>
    <t>Декабрь</t>
  </si>
  <si>
    <t>ГСМ председатель</t>
  </si>
  <si>
    <t>Механизированная уборка снега</t>
  </si>
  <si>
    <t>ИТОГО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</si>
</sst>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000000"/>
      <name val="Inconsolata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/>
    </xf>
    <xf numFmtId="0" fontId="4" fillId="2" borderId="0" xfId="0" applyFont="1" applyFill="1"/>
    <xf numFmtId="4" fontId="3" fillId="0" borderId="1" xfId="0" applyNumberFormat="1" applyFont="1" applyBorder="1"/>
    <xf numFmtId="4" fontId="2" fillId="0" borderId="0" xfId="0" applyNumberFormat="1" applyFont="1"/>
    <xf numFmtId="0" fontId="2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/>
    <xf numFmtId="0" fontId="5" fillId="0" borderId="1" xfId="0" applyFont="1" applyBorder="1" applyAlignment="1"/>
    <xf numFmtId="4" fontId="5" fillId="0" borderId="1" xfId="0" applyNumberFormat="1" applyFont="1" applyBorder="1"/>
    <xf numFmtId="4" fontId="6" fillId="0" borderId="1" xfId="0" applyNumberFormat="1" applyFont="1" applyBorder="1"/>
    <xf numFmtId="4" fontId="6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59"/>
  <sheetViews>
    <sheetView tabSelected="1" topLeftCell="A151" workbookViewId="0">
      <selection activeCell="C186" sqref="C186"/>
    </sheetView>
  </sheetViews>
  <sheetFormatPr defaultColWidth="12.5703125" defaultRowHeight="15"/>
  <cols>
    <col min="1" max="1" width="59.85546875" style="3" customWidth="1"/>
    <col min="2" max="2" width="12.5703125" style="3" customWidth="1"/>
    <col min="3" max="16384" width="12.5703125" style="3"/>
  </cols>
  <sheetData>
    <row r="1" spans="1:3" ht="15.75" customHeight="1">
      <c r="A1" s="1">
        <v>2021</v>
      </c>
      <c r="B1" s="2"/>
    </row>
    <row r="2" spans="1:3" ht="15.75" customHeight="1">
      <c r="A2" s="4" t="s">
        <v>0</v>
      </c>
      <c r="B2" s="2"/>
    </row>
    <row r="3" spans="1:3" ht="15.75" customHeight="1">
      <c r="A3" s="5" t="s">
        <v>1</v>
      </c>
      <c r="B3" s="6">
        <f>1679.2+2000</f>
        <v>3679.2</v>
      </c>
    </row>
    <row r="4" spans="1:3" ht="15.75" customHeight="1">
      <c r="A4" s="5" t="s">
        <v>2</v>
      </c>
      <c r="B4" s="6">
        <f>99000+29898</f>
        <v>128898</v>
      </c>
    </row>
    <row r="5" spans="1:3" ht="15.75" customHeight="1">
      <c r="A5" s="5" t="s">
        <v>3</v>
      </c>
      <c r="B5" s="6">
        <f>2000+814.8</f>
        <v>2814.8</v>
      </c>
    </row>
    <row r="6" spans="1:3" ht="15.75" customHeight="1">
      <c r="A6" s="7" t="s">
        <v>4</v>
      </c>
      <c r="B6" s="8">
        <f>49.01+3688.67</f>
        <v>3737.6800000000003</v>
      </c>
      <c r="C6" s="9"/>
    </row>
    <row r="7" spans="1:3" ht="15.75" customHeight="1">
      <c r="A7" s="7" t="s">
        <v>5</v>
      </c>
      <c r="B7" s="10">
        <v>1287</v>
      </c>
    </row>
    <row r="8" spans="1:3" ht="15.75" customHeight="1">
      <c r="A8" s="7" t="s">
        <v>6</v>
      </c>
      <c r="B8" s="8">
        <v>20000</v>
      </c>
    </row>
    <row r="9" spans="1:3" ht="15.75" customHeight="1">
      <c r="A9" s="7" t="s">
        <v>7</v>
      </c>
      <c r="B9" s="10">
        <f>8500</f>
        <v>8500</v>
      </c>
    </row>
    <row r="10" spans="1:3" ht="15.75" customHeight="1">
      <c r="A10" s="7" t="s">
        <v>8</v>
      </c>
      <c r="B10" s="10">
        <v>4779</v>
      </c>
      <c r="C10" s="11"/>
    </row>
    <row r="11" spans="1:3" ht="15.75" customHeight="1">
      <c r="A11" s="7" t="s">
        <v>9</v>
      </c>
      <c r="B11" s="8">
        <v>259</v>
      </c>
    </row>
    <row r="12" spans="1:3" ht="15.75" customHeight="1">
      <c r="A12" s="7" t="s">
        <v>10</v>
      </c>
      <c r="B12" s="10">
        <v>437</v>
      </c>
    </row>
    <row r="13" spans="1:3" ht="15.75" customHeight="1">
      <c r="A13" s="7" t="s">
        <v>11</v>
      </c>
      <c r="B13" s="10">
        <f>680+799</f>
        <v>1479</v>
      </c>
    </row>
    <row r="14" spans="1:3" ht="15.75" customHeight="1">
      <c r="A14" s="12" t="s">
        <v>12</v>
      </c>
      <c r="B14" s="6">
        <f>SUM(B3:B13)</f>
        <v>175870.68</v>
      </c>
    </row>
    <row r="15" spans="1:3" ht="15.75" customHeight="1">
      <c r="A15" s="4" t="s">
        <v>13</v>
      </c>
      <c r="B15" s="2"/>
    </row>
    <row r="16" spans="1:3" ht="15.75" customHeight="1">
      <c r="A16" s="5" t="s">
        <v>1</v>
      </c>
      <c r="B16" s="6">
        <f>11918.42-2000</f>
        <v>9918.42</v>
      </c>
    </row>
    <row r="17" spans="1:3" ht="15.75" customHeight="1">
      <c r="A17" s="13" t="s">
        <v>14</v>
      </c>
      <c r="B17" s="10">
        <f>32000+1320</f>
        <v>33320</v>
      </c>
    </row>
    <row r="18" spans="1:3" ht="15.75" customHeight="1">
      <c r="A18" s="5" t="s">
        <v>2</v>
      </c>
      <c r="B18" s="6">
        <f>99000+29898</f>
        <v>128898</v>
      </c>
      <c r="C18" s="11"/>
    </row>
    <row r="19" spans="1:3" ht="15.75" customHeight="1">
      <c r="A19" s="5" t="s">
        <v>3</v>
      </c>
      <c r="B19" s="6">
        <f>2000+817.46</f>
        <v>2817.46</v>
      </c>
    </row>
    <row r="20" spans="1:3" ht="15.75" customHeight="1">
      <c r="A20" s="7" t="s">
        <v>4</v>
      </c>
      <c r="B20" s="8">
        <f>7069.54+93.98</f>
        <v>7163.5199999999995</v>
      </c>
      <c r="C20" s="11"/>
    </row>
    <row r="21" spans="1:3" ht="15.75" customHeight="1">
      <c r="A21" s="7" t="s">
        <v>15</v>
      </c>
      <c r="B21" s="14">
        <f>1388+451</f>
        <v>1839</v>
      </c>
      <c r="C21" s="11"/>
    </row>
    <row r="22" spans="1:3" ht="15.75" customHeight="1">
      <c r="A22" s="7" t="s">
        <v>7</v>
      </c>
      <c r="B22" s="14">
        <v>9200</v>
      </c>
    </row>
    <row r="23" spans="1:3" ht="15.75" customHeight="1">
      <c r="A23" s="7" t="s">
        <v>16</v>
      </c>
      <c r="B23" s="14">
        <f>3278.78+2799.99</f>
        <v>6078.77</v>
      </c>
    </row>
    <row r="24" spans="1:3" ht="15.75" customHeight="1">
      <c r="A24" s="7" t="s">
        <v>17</v>
      </c>
      <c r="B24" s="14">
        <v>18200</v>
      </c>
    </row>
    <row r="25" spans="1:3" ht="15.75" customHeight="1">
      <c r="A25" s="7" t="s">
        <v>9</v>
      </c>
      <c r="B25" s="8">
        <v>259</v>
      </c>
    </row>
    <row r="26" spans="1:3" ht="15.75" customHeight="1">
      <c r="A26" s="7" t="s">
        <v>18</v>
      </c>
      <c r="B26" s="14">
        <f>3855+38050+5110</f>
        <v>47015</v>
      </c>
    </row>
    <row r="27" spans="1:3" ht="15.75" customHeight="1">
      <c r="A27" s="7" t="s">
        <v>10</v>
      </c>
      <c r="B27" s="14">
        <v>273.37</v>
      </c>
    </row>
    <row r="28" spans="1:3" ht="15.75" customHeight="1">
      <c r="A28" s="7" t="s">
        <v>19</v>
      </c>
      <c r="B28" s="14">
        <v>32610</v>
      </c>
    </row>
    <row r="29" spans="1:3" ht="15.75" customHeight="1">
      <c r="A29" s="7" t="s">
        <v>20</v>
      </c>
      <c r="B29" s="14">
        <v>3260</v>
      </c>
    </row>
    <row r="30" spans="1:3" ht="15.75" customHeight="1">
      <c r="A30" s="12" t="s">
        <v>12</v>
      </c>
      <c r="B30" s="6">
        <f>SUM(B16:B29)</f>
        <v>300852.53999999992</v>
      </c>
    </row>
    <row r="31" spans="1:3" ht="15.75" customHeight="1">
      <c r="A31" s="15" t="s">
        <v>21</v>
      </c>
      <c r="B31" s="16"/>
    </row>
    <row r="32" spans="1:3" ht="15.75" customHeight="1">
      <c r="A32" s="5" t="s">
        <v>1</v>
      </c>
      <c r="B32" s="17">
        <v>4254.76</v>
      </c>
    </row>
    <row r="33" spans="1:2" ht="15.75" customHeight="1">
      <c r="A33" s="5" t="s">
        <v>22</v>
      </c>
      <c r="B33" s="17"/>
    </row>
    <row r="34" spans="1:2" ht="15.75" customHeight="1">
      <c r="A34" s="5" t="s">
        <v>2</v>
      </c>
      <c r="B34" s="6">
        <f>99000+29898+15000</f>
        <v>143898</v>
      </c>
    </row>
    <row r="35" spans="1:2" ht="15.75" customHeight="1">
      <c r="A35" s="5" t="s">
        <v>3</v>
      </c>
      <c r="B35" s="17">
        <f>2000+814.8</f>
        <v>2814.8</v>
      </c>
    </row>
    <row r="36" spans="1:2" ht="15.75" customHeight="1">
      <c r="A36" s="7" t="s">
        <v>23</v>
      </c>
      <c r="B36" s="14">
        <f>18000+30000</f>
        <v>48000</v>
      </c>
    </row>
    <row r="37" spans="1:2" ht="15.75" customHeight="1">
      <c r="A37" s="7" t="s">
        <v>4</v>
      </c>
      <c r="B37" s="14">
        <f>5524.9+73.52</f>
        <v>5598.42</v>
      </c>
    </row>
    <row r="38" spans="1:2" ht="15.75" customHeight="1">
      <c r="A38" s="7" t="s">
        <v>15</v>
      </c>
      <c r="B38" s="14">
        <v>2564</v>
      </c>
    </row>
    <row r="39" spans="1:2" ht="15.75" customHeight="1">
      <c r="A39" s="7" t="s">
        <v>7</v>
      </c>
      <c r="B39" s="14">
        <f>4840</f>
        <v>4840</v>
      </c>
    </row>
    <row r="40" spans="1:2" ht="15.75" customHeight="1">
      <c r="A40" s="7" t="s">
        <v>16</v>
      </c>
      <c r="B40" s="14">
        <f>1294.95</f>
        <v>1294.95</v>
      </c>
    </row>
    <row r="41" spans="1:2" ht="15.75" customHeight="1">
      <c r="A41" s="7" t="s">
        <v>10</v>
      </c>
      <c r="B41" s="14">
        <v>407.04</v>
      </c>
    </row>
    <row r="42" spans="1:2" ht="15.75" customHeight="1">
      <c r="A42" s="7" t="s">
        <v>24</v>
      </c>
      <c r="B42" s="14">
        <f>3000+5890</f>
        <v>8890</v>
      </c>
    </row>
    <row r="43" spans="1:2" ht="15.75" customHeight="1">
      <c r="A43" s="7" t="s">
        <v>25</v>
      </c>
      <c r="B43" s="14">
        <f>8000+14005</f>
        <v>22005</v>
      </c>
    </row>
    <row r="44" spans="1:2" ht="15.75" customHeight="1">
      <c r="A44" s="7" t="s">
        <v>9</v>
      </c>
      <c r="B44" s="8">
        <f>259+27273</f>
        <v>27532</v>
      </c>
    </row>
    <row r="45" spans="1:2" ht="15.75" customHeight="1">
      <c r="A45" s="7" t="s">
        <v>20</v>
      </c>
      <c r="B45" s="14">
        <f>3000+1300+4242</f>
        <v>8542</v>
      </c>
    </row>
    <row r="46" spans="1:2" ht="15.75" customHeight="1">
      <c r="A46" s="12" t="s">
        <v>12</v>
      </c>
      <c r="B46" s="6">
        <f>SUM(B32:B45)</f>
        <v>280640.97000000003</v>
      </c>
    </row>
    <row r="47" spans="1:2" ht="15.75" customHeight="1">
      <c r="A47" s="15" t="s">
        <v>26</v>
      </c>
      <c r="B47" s="16"/>
    </row>
    <row r="48" spans="1:2" ht="15.75" customHeight="1">
      <c r="A48" s="5" t="s">
        <v>1</v>
      </c>
      <c r="B48" s="17">
        <v>4147.32</v>
      </c>
    </row>
    <row r="49" spans="1:2" ht="15.75" customHeight="1">
      <c r="A49" s="5" t="s">
        <v>2</v>
      </c>
      <c r="B49" s="17">
        <f>99594.93+30077.67+15000</f>
        <v>144672.59999999998</v>
      </c>
    </row>
    <row r="50" spans="1:2" ht="15.75" customHeight="1">
      <c r="A50" s="5" t="s">
        <v>3</v>
      </c>
      <c r="B50" s="17">
        <f>2000+814.8</f>
        <v>2814.8</v>
      </c>
    </row>
    <row r="51" spans="1:2" ht="15.75" customHeight="1">
      <c r="A51" s="5" t="s">
        <v>27</v>
      </c>
      <c r="B51" s="17">
        <v>19713</v>
      </c>
    </row>
    <row r="52" spans="1:2" ht="15.75" customHeight="1">
      <c r="A52" s="7" t="s">
        <v>4</v>
      </c>
      <c r="B52" s="8">
        <f>3676.94+49.01</f>
        <v>3725.9500000000003</v>
      </c>
    </row>
    <row r="53" spans="1:2" ht="15.75" customHeight="1">
      <c r="A53" s="7" t="s">
        <v>6</v>
      </c>
      <c r="B53" s="8">
        <v>10000</v>
      </c>
    </row>
    <row r="54" spans="1:2" ht="15.75" customHeight="1">
      <c r="A54" s="7" t="s">
        <v>28</v>
      </c>
      <c r="B54" s="8"/>
    </row>
    <row r="55" spans="1:2" ht="15.75" customHeight="1">
      <c r="A55" s="7" t="s">
        <v>29</v>
      </c>
      <c r="B55" s="8">
        <v>1450</v>
      </c>
    </row>
    <row r="56" spans="1:2" ht="15.75" customHeight="1">
      <c r="A56" s="7" t="s">
        <v>30</v>
      </c>
      <c r="B56" s="8">
        <f>2202.93+1500</f>
        <v>3702.93</v>
      </c>
    </row>
    <row r="57" spans="1:2" ht="15.75" customHeight="1">
      <c r="A57" s="7" t="s">
        <v>31</v>
      </c>
      <c r="B57" s="8">
        <f>3725.95+36960</f>
        <v>40685.949999999997</v>
      </c>
    </row>
    <row r="58" spans="1:2" ht="15.75" customHeight="1">
      <c r="A58" s="7" t="s">
        <v>9</v>
      </c>
      <c r="B58" s="8">
        <v>259</v>
      </c>
    </row>
    <row r="59" spans="1:2" ht="15.75" customHeight="1">
      <c r="A59" s="7" t="s">
        <v>32</v>
      </c>
      <c r="B59" s="8">
        <v>3000</v>
      </c>
    </row>
    <row r="60" spans="1:2" ht="15.75" customHeight="1">
      <c r="A60" s="7" t="s">
        <v>20</v>
      </c>
      <c r="B60" s="8">
        <v>2655</v>
      </c>
    </row>
    <row r="61" spans="1:2" ht="15.75" customHeight="1">
      <c r="A61" s="12" t="s">
        <v>12</v>
      </c>
      <c r="B61" s="6">
        <f>SUM(B48:B60)</f>
        <v>236826.55</v>
      </c>
    </row>
    <row r="62" spans="1:2" ht="15.75" customHeight="1">
      <c r="A62" s="15" t="s">
        <v>33</v>
      </c>
      <c r="B62" s="16"/>
    </row>
    <row r="63" spans="1:2" ht="15.75" customHeight="1">
      <c r="A63" s="5" t="s">
        <v>1</v>
      </c>
      <c r="B63" s="17">
        <v>7558.69</v>
      </c>
    </row>
    <row r="64" spans="1:2" ht="15.75" customHeight="1">
      <c r="A64" s="5" t="s">
        <v>34</v>
      </c>
      <c r="B64" s="17"/>
    </row>
    <row r="65" spans="1:2" ht="15.75" customHeight="1">
      <c r="A65" s="5" t="s">
        <v>2</v>
      </c>
      <c r="B65" s="17">
        <f>99000+29898+15000</f>
        <v>143898</v>
      </c>
    </row>
    <row r="66" spans="1:2" ht="15.75" customHeight="1">
      <c r="A66" s="5" t="s">
        <v>3</v>
      </c>
      <c r="B66" s="17">
        <f>2000+743.27</f>
        <v>2743.27</v>
      </c>
    </row>
    <row r="67" spans="1:2" ht="15.75" customHeight="1">
      <c r="A67" s="7" t="s">
        <v>4</v>
      </c>
      <c r="B67" s="8">
        <f>2023.31+24.5</f>
        <v>2047.81</v>
      </c>
    </row>
    <row r="68" spans="1:2" ht="15.75" customHeight="1">
      <c r="A68" s="7" t="s">
        <v>35</v>
      </c>
      <c r="B68" s="14">
        <v>5460</v>
      </c>
    </row>
    <row r="69" spans="1:2" ht="15.75" customHeight="1">
      <c r="A69" s="7" t="s">
        <v>36</v>
      </c>
      <c r="B69" s="14">
        <f>1350+2780</f>
        <v>4130</v>
      </c>
    </row>
    <row r="70" spans="1:2" ht="15.75" customHeight="1">
      <c r="A70" s="7" t="s">
        <v>37</v>
      </c>
      <c r="B70" s="14">
        <v>46522</v>
      </c>
    </row>
    <row r="71" spans="1:2" ht="15.75" customHeight="1">
      <c r="A71" s="7" t="s">
        <v>9</v>
      </c>
      <c r="B71" s="8">
        <v>259</v>
      </c>
    </row>
    <row r="72" spans="1:2" ht="15.75" customHeight="1">
      <c r="A72" s="7" t="s">
        <v>38</v>
      </c>
      <c r="B72" s="14">
        <f>2000+18276+11600</f>
        <v>31876</v>
      </c>
    </row>
    <row r="73" spans="1:2" ht="15.75" customHeight="1">
      <c r="A73" s="7" t="s">
        <v>39</v>
      </c>
      <c r="B73" s="14">
        <v>7930</v>
      </c>
    </row>
    <row r="74" spans="1:2" ht="15.75" customHeight="1">
      <c r="A74" s="12" t="s">
        <v>12</v>
      </c>
      <c r="B74" s="6">
        <f>SUM(B63:B73)</f>
        <v>252424.77</v>
      </c>
    </row>
    <row r="75" spans="1:2" ht="15.75" customHeight="1">
      <c r="A75" s="15" t="s">
        <v>40</v>
      </c>
      <c r="B75" s="16"/>
    </row>
    <row r="76" spans="1:2" ht="15.75" customHeight="1">
      <c r="A76" s="5" t="s">
        <v>1</v>
      </c>
      <c r="B76" s="17">
        <v>11394.97</v>
      </c>
    </row>
    <row r="77" spans="1:2" ht="15.75" customHeight="1">
      <c r="A77" s="5" t="s">
        <v>2</v>
      </c>
      <c r="B77" s="17">
        <f>99000+29898+15000</f>
        <v>143898</v>
      </c>
    </row>
    <row r="78" spans="1:2" ht="15.75" customHeight="1">
      <c r="A78" s="5" t="s">
        <v>3</v>
      </c>
      <c r="B78" s="17">
        <f>832.8</f>
        <v>832.8</v>
      </c>
    </row>
    <row r="79" spans="1:2" ht="15.75" customHeight="1">
      <c r="A79" s="7" t="s">
        <v>41</v>
      </c>
      <c r="B79" s="8">
        <f>16280+10350+15575+3611+15217.4</f>
        <v>61033.4</v>
      </c>
    </row>
    <row r="80" spans="1:2" ht="15.75" customHeight="1">
      <c r="A80" s="7" t="s">
        <v>42</v>
      </c>
      <c r="B80" s="8">
        <v>4446.99</v>
      </c>
    </row>
    <row r="81" spans="1:2" ht="15.75" customHeight="1">
      <c r="A81" s="7" t="s">
        <v>43</v>
      </c>
      <c r="B81" s="8">
        <f>2000</f>
        <v>2000</v>
      </c>
    </row>
    <row r="82" spans="1:2" ht="15.75" customHeight="1">
      <c r="A82" s="7" t="s">
        <v>16</v>
      </c>
      <c r="B82" s="8">
        <f>1344.95</f>
        <v>1344.95</v>
      </c>
    </row>
    <row r="83" spans="1:2" ht="15.75" customHeight="1">
      <c r="A83" s="7" t="s">
        <v>44</v>
      </c>
      <c r="B83" s="8">
        <v>29000</v>
      </c>
    </row>
    <row r="84" spans="1:2" ht="15.75" customHeight="1">
      <c r="A84" s="7" t="s">
        <v>9</v>
      </c>
      <c r="B84" s="8">
        <v>259</v>
      </c>
    </row>
    <row r="85" spans="1:2" ht="15.75" customHeight="1">
      <c r="A85" s="7" t="s">
        <v>36</v>
      </c>
      <c r="B85" s="14">
        <v>300</v>
      </c>
    </row>
    <row r="86" spans="1:2" ht="15.75" customHeight="1">
      <c r="A86" s="7" t="s">
        <v>20</v>
      </c>
      <c r="B86" s="14">
        <f>190.98+369.5</f>
        <v>560.48</v>
      </c>
    </row>
    <row r="87" spans="1:2" ht="15.75" customHeight="1">
      <c r="A87" s="12" t="s">
        <v>12</v>
      </c>
      <c r="B87" s="6">
        <f>SUM(B76:B86)</f>
        <v>255070.59</v>
      </c>
    </row>
    <row r="88" spans="1:2" ht="15.75" customHeight="1">
      <c r="A88" s="15" t="s">
        <v>45</v>
      </c>
      <c r="B88" s="16"/>
    </row>
    <row r="89" spans="1:2" ht="15.75" customHeight="1">
      <c r="A89" s="5" t="s">
        <v>1</v>
      </c>
      <c r="B89" s="17">
        <v>22777.42</v>
      </c>
    </row>
    <row r="90" spans="1:2" ht="15.75" customHeight="1">
      <c r="A90" s="5" t="s">
        <v>2</v>
      </c>
      <c r="B90" s="17">
        <f>99000+29898+15000</f>
        <v>143898</v>
      </c>
    </row>
    <row r="91" spans="1:2" ht="15.75" customHeight="1">
      <c r="A91" s="5" t="s">
        <v>3</v>
      </c>
      <c r="B91" s="17">
        <f>4000+613.55</f>
        <v>4613.55</v>
      </c>
    </row>
    <row r="92" spans="1:2" ht="15.75" customHeight="1">
      <c r="A92" s="5" t="s">
        <v>46</v>
      </c>
      <c r="B92" s="17">
        <f>13872+10822</f>
        <v>24694</v>
      </c>
    </row>
    <row r="93" spans="1:2" ht="15.75" customHeight="1">
      <c r="A93" s="7" t="s">
        <v>47</v>
      </c>
      <c r="B93" s="8">
        <v>12500</v>
      </c>
    </row>
    <row r="94" spans="1:2" ht="15.75" customHeight="1">
      <c r="A94" s="7" t="s">
        <v>48</v>
      </c>
      <c r="B94" s="8">
        <v>20000</v>
      </c>
    </row>
    <row r="95" spans="1:2" ht="15.75" customHeight="1">
      <c r="A95" s="7" t="s">
        <v>15</v>
      </c>
      <c r="B95" s="8">
        <v>4810</v>
      </c>
    </row>
    <row r="96" spans="1:2" ht="15.75" customHeight="1">
      <c r="A96" s="7" t="s">
        <v>49</v>
      </c>
      <c r="B96" s="8">
        <f>3000+1000</f>
        <v>4000</v>
      </c>
    </row>
    <row r="97" spans="1:2" ht="15.75" customHeight="1">
      <c r="A97" s="7" t="s">
        <v>50</v>
      </c>
      <c r="B97" s="8">
        <f>457+5680+3430</f>
        <v>9567</v>
      </c>
    </row>
    <row r="98" spans="1:2" ht="15.75" customHeight="1">
      <c r="A98" s="7" t="s">
        <v>36</v>
      </c>
      <c r="B98" s="14">
        <v>6900</v>
      </c>
    </row>
    <row r="99" spans="1:2" ht="15.75" customHeight="1">
      <c r="A99" s="7" t="s">
        <v>9</v>
      </c>
      <c r="B99" s="8">
        <v>259</v>
      </c>
    </row>
    <row r="100" spans="1:2" ht="15.75" customHeight="1">
      <c r="A100" s="7" t="s">
        <v>20</v>
      </c>
      <c r="B100" s="14">
        <f>2200+1500</f>
        <v>3700</v>
      </c>
    </row>
    <row r="101" spans="1:2" ht="15.75" customHeight="1">
      <c r="A101" s="12" t="s">
        <v>12</v>
      </c>
      <c r="B101" s="6">
        <f>SUM(B89:B100)</f>
        <v>257718.96999999997</v>
      </c>
    </row>
    <row r="102" spans="1:2" ht="15.75" customHeight="1">
      <c r="A102" s="15" t="s">
        <v>51</v>
      </c>
      <c r="B102" s="16"/>
    </row>
    <row r="103" spans="1:2" ht="15.75" customHeight="1">
      <c r="A103" s="5" t="s">
        <v>1</v>
      </c>
      <c r="B103" s="17">
        <v>10286.44</v>
      </c>
    </row>
    <row r="104" spans="1:2" ht="15.75" customHeight="1">
      <c r="A104" s="5" t="s">
        <v>2</v>
      </c>
      <c r="B104" s="17">
        <f>104427.56+31537.13+15000</f>
        <v>150964.69</v>
      </c>
    </row>
    <row r="105" spans="1:2" ht="15.75" customHeight="1">
      <c r="A105" s="5" t="s">
        <v>3</v>
      </c>
      <c r="B105" s="17">
        <f>522.19+2000</f>
        <v>2522.19</v>
      </c>
    </row>
    <row r="106" spans="1:2" ht="15.75" customHeight="1">
      <c r="A106" s="7" t="s">
        <v>42</v>
      </c>
      <c r="B106" s="8">
        <f>2500+999.74</f>
        <v>3499.74</v>
      </c>
    </row>
    <row r="107" spans="1:2" ht="15.75" customHeight="1">
      <c r="A107" s="7" t="s">
        <v>15</v>
      </c>
      <c r="B107" s="8">
        <f>1929+1000</f>
        <v>2929</v>
      </c>
    </row>
    <row r="108" spans="1:2" ht="15.75" customHeight="1">
      <c r="A108" s="7" t="s">
        <v>52</v>
      </c>
      <c r="B108" s="8">
        <f>1000+6500</f>
        <v>7500</v>
      </c>
    </row>
    <row r="109" spans="1:2" ht="15.75" customHeight="1">
      <c r="A109" s="7" t="s">
        <v>17</v>
      </c>
      <c r="B109" s="8">
        <f>2480</f>
        <v>2480</v>
      </c>
    </row>
    <row r="110" spans="1:2" ht="15.75" customHeight="1">
      <c r="A110" s="7" t="s">
        <v>53</v>
      </c>
      <c r="B110" s="8">
        <f>29199.98+5292</f>
        <v>34491.979999999996</v>
      </c>
    </row>
    <row r="111" spans="1:2" ht="15.75" customHeight="1">
      <c r="A111" s="7" t="s">
        <v>9</v>
      </c>
      <c r="B111" s="8">
        <v>259</v>
      </c>
    </row>
    <row r="112" spans="1:2" ht="15.75" customHeight="1">
      <c r="A112" s="7" t="s">
        <v>36</v>
      </c>
      <c r="B112" s="8">
        <v>8500</v>
      </c>
    </row>
    <row r="113" spans="1:2" ht="15.75" customHeight="1">
      <c r="A113" s="7" t="s">
        <v>20</v>
      </c>
      <c r="B113" s="8">
        <f>2100+4950+1100+230</f>
        <v>8380</v>
      </c>
    </row>
    <row r="114" spans="1:2" ht="15.75" customHeight="1">
      <c r="A114" s="12" t="s">
        <v>12</v>
      </c>
      <c r="B114" s="6">
        <f>SUM(B103:B113)</f>
        <v>231813.03999999998</v>
      </c>
    </row>
    <row r="115" spans="1:2" ht="15.75" customHeight="1">
      <c r="A115" s="15" t="s">
        <v>54</v>
      </c>
      <c r="B115" s="2"/>
    </row>
    <row r="116" spans="1:2" ht="15.75" customHeight="1">
      <c r="A116" s="5" t="s">
        <v>1</v>
      </c>
      <c r="B116" s="6">
        <v>6715.74</v>
      </c>
    </row>
    <row r="117" spans="1:2" ht="15.75" customHeight="1">
      <c r="A117" s="5" t="s">
        <v>2</v>
      </c>
      <c r="B117" s="6">
        <f>102561.88+30973.67+15000</f>
        <v>148535.54999999999</v>
      </c>
    </row>
    <row r="118" spans="1:2" ht="15.75" customHeight="1">
      <c r="A118" s="5" t="s">
        <v>3</v>
      </c>
      <c r="B118" s="6">
        <f>832.8+2000</f>
        <v>2832.8</v>
      </c>
    </row>
    <row r="119" spans="1:2" ht="15.75" customHeight="1">
      <c r="A119" s="7" t="s">
        <v>4</v>
      </c>
      <c r="B119" s="8">
        <v>2174.02</v>
      </c>
    </row>
    <row r="120" spans="1:2" ht="15.75" customHeight="1">
      <c r="A120" s="7" t="s">
        <v>55</v>
      </c>
      <c r="B120" s="14">
        <v>450</v>
      </c>
    </row>
    <row r="121" spans="1:2" ht="15.75" customHeight="1">
      <c r="A121" s="7" t="s">
        <v>36</v>
      </c>
      <c r="B121" s="14">
        <f>2300+6500</f>
        <v>8800</v>
      </c>
    </row>
    <row r="122" spans="1:2" ht="15.75" customHeight="1">
      <c r="A122" s="7" t="s">
        <v>56</v>
      </c>
      <c r="B122" s="14">
        <f>4000+48950</f>
        <v>52950</v>
      </c>
    </row>
    <row r="123" spans="1:2" ht="15.75" customHeight="1">
      <c r="A123" s="7" t="s">
        <v>57</v>
      </c>
      <c r="B123" s="14">
        <f>2700+19550</f>
        <v>22250</v>
      </c>
    </row>
    <row r="124" spans="1:2" ht="15.75" customHeight="1">
      <c r="A124" s="7" t="s">
        <v>58</v>
      </c>
      <c r="B124" s="8">
        <v>19000</v>
      </c>
    </row>
    <row r="125" spans="1:2" ht="15.75" customHeight="1">
      <c r="A125" s="7" t="s">
        <v>9</v>
      </c>
      <c r="B125" s="8">
        <f>1190+259</f>
        <v>1449</v>
      </c>
    </row>
    <row r="126" spans="1:2" ht="15.75" customHeight="1">
      <c r="A126" s="7" t="s">
        <v>20</v>
      </c>
      <c r="B126" s="14">
        <v>215.95</v>
      </c>
    </row>
    <row r="127" spans="1:2" ht="15.75" customHeight="1">
      <c r="A127" s="12" t="s">
        <v>12</v>
      </c>
      <c r="B127" s="6">
        <f>SUM(B116:B126)</f>
        <v>265373.06</v>
      </c>
    </row>
    <row r="128" spans="1:2" ht="15.75" customHeight="1">
      <c r="A128" s="12" t="s">
        <v>59</v>
      </c>
      <c r="B128" s="6">
        <f>B14+B30+B46+B61+B74+B87+B101+B114+B127</f>
        <v>2256591.17</v>
      </c>
    </row>
    <row r="129" spans="1:2" ht="15.75" customHeight="1">
      <c r="A129" s="15" t="s">
        <v>60</v>
      </c>
      <c r="B129" s="2"/>
    </row>
    <row r="130" spans="1:2" ht="15.75" customHeight="1">
      <c r="A130" s="5" t="s">
        <v>1</v>
      </c>
      <c r="B130" s="18">
        <v>6908.74</v>
      </c>
    </row>
    <row r="131" spans="1:2" ht="15.75" customHeight="1">
      <c r="A131" s="5" t="s">
        <v>2</v>
      </c>
      <c r="B131" s="6">
        <f>91142.86+15000+27525.15</f>
        <v>133668.01</v>
      </c>
    </row>
    <row r="132" spans="1:2" ht="15.75" customHeight="1">
      <c r="A132" s="5" t="s">
        <v>3</v>
      </c>
      <c r="B132" s="6">
        <f>832.8+2000</f>
        <v>2832.8</v>
      </c>
    </row>
    <row r="133" spans="1:2" ht="15.75" customHeight="1">
      <c r="A133" s="5" t="s">
        <v>46</v>
      </c>
      <c r="B133" s="17">
        <f>61264+13508</f>
        <v>74772</v>
      </c>
    </row>
    <row r="134" spans="1:2" ht="15.75" customHeight="1">
      <c r="A134" s="7" t="s">
        <v>4</v>
      </c>
      <c r="B134" s="8">
        <f>3222.01</f>
        <v>3222.01</v>
      </c>
    </row>
    <row r="135" spans="1:2" ht="15.75" customHeight="1">
      <c r="A135" s="7" t="s">
        <v>20</v>
      </c>
      <c r="B135" s="8">
        <f>2818.07</f>
        <v>2818.07</v>
      </c>
    </row>
    <row r="136" spans="1:2" ht="15.75" customHeight="1">
      <c r="A136" s="7" t="s">
        <v>42</v>
      </c>
      <c r="B136" s="8">
        <v>999.82</v>
      </c>
    </row>
    <row r="137" spans="1:2" ht="15.75" customHeight="1">
      <c r="A137" s="7" t="s">
        <v>61</v>
      </c>
      <c r="B137" s="8">
        <v>750</v>
      </c>
    </row>
    <row r="138" spans="1:2" ht="15.75" customHeight="1">
      <c r="A138" s="7" t="s">
        <v>62</v>
      </c>
      <c r="B138" s="8">
        <v>2500</v>
      </c>
    </row>
    <row r="139" spans="1:2" ht="15.75" customHeight="1">
      <c r="A139" s="7" t="s">
        <v>63</v>
      </c>
      <c r="B139" s="8">
        <f>117000+7000</f>
        <v>124000</v>
      </c>
    </row>
    <row r="140" spans="1:2" ht="15.75" customHeight="1">
      <c r="A140" s="7" t="s">
        <v>9</v>
      </c>
      <c r="B140" s="8">
        <f>259</f>
        <v>259</v>
      </c>
    </row>
    <row r="141" spans="1:2" ht="15.75" customHeight="1">
      <c r="A141" s="7" t="s">
        <v>64</v>
      </c>
      <c r="B141" s="8">
        <v>25300</v>
      </c>
    </row>
    <row r="142" spans="1:2" ht="15.75" customHeight="1">
      <c r="A142" s="7" t="s">
        <v>65</v>
      </c>
      <c r="B142" s="8">
        <v>2186</v>
      </c>
    </row>
    <row r="143" spans="1:2" ht="15.75" customHeight="1">
      <c r="A143" s="7" t="s">
        <v>66</v>
      </c>
      <c r="B143" s="8">
        <f>10396.03</f>
        <v>10396.030000000001</v>
      </c>
    </row>
    <row r="144" spans="1:2" ht="15.75" customHeight="1">
      <c r="A144" s="19" t="s">
        <v>12</v>
      </c>
      <c r="B144" s="20">
        <f>SUM(B130:B143)</f>
        <v>390612.48000000004</v>
      </c>
    </row>
    <row r="145" spans="1:2" ht="15.75" customHeight="1">
      <c r="A145" s="15" t="s">
        <v>67</v>
      </c>
      <c r="B145" s="2"/>
    </row>
    <row r="146" spans="1:2" ht="15.75" customHeight="1">
      <c r="A146" s="5" t="s">
        <v>1</v>
      </c>
      <c r="B146" s="18">
        <v>3838.57</v>
      </c>
    </row>
    <row r="147" spans="1:2" ht="15.75" customHeight="1">
      <c r="A147" s="5" t="s">
        <v>2</v>
      </c>
      <c r="B147" s="20">
        <f>15000+99000+29898</f>
        <v>143898</v>
      </c>
    </row>
    <row r="148" spans="1:2" ht="15.75" customHeight="1">
      <c r="A148" s="5" t="s">
        <v>3</v>
      </c>
      <c r="B148" s="20">
        <f>832.8</f>
        <v>832.8</v>
      </c>
    </row>
    <row r="149" spans="1:2" ht="15.75" customHeight="1">
      <c r="A149" s="7" t="s">
        <v>4</v>
      </c>
      <c r="B149" s="21">
        <v>4508.1000000000004</v>
      </c>
    </row>
    <row r="150" spans="1:2" ht="15.75" customHeight="1">
      <c r="A150" s="7" t="s">
        <v>42</v>
      </c>
      <c r="B150" s="21">
        <v>3000</v>
      </c>
    </row>
    <row r="151" spans="1:2" ht="15.75" customHeight="1">
      <c r="A151" s="7" t="s">
        <v>61</v>
      </c>
      <c r="B151" s="21">
        <f>7349.95</f>
        <v>7349.95</v>
      </c>
    </row>
    <row r="152" spans="1:2" ht="15.75" customHeight="1">
      <c r="A152" s="7" t="s">
        <v>11</v>
      </c>
      <c r="B152" s="21">
        <f>8760</f>
        <v>8760</v>
      </c>
    </row>
    <row r="153" spans="1:2" ht="15.75" customHeight="1">
      <c r="A153" s="7" t="s">
        <v>9</v>
      </c>
      <c r="B153" s="8">
        <f>259</f>
        <v>259</v>
      </c>
    </row>
    <row r="154" spans="1:2" ht="15.75" customHeight="1">
      <c r="A154" s="7" t="s">
        <v>20</v>
      </c>
      <c r="B154" s="8">
        <v>659.5</v>
      </c>
    </row>
    <row r="155" spans="1:2" ht="15.75" customHeight="1">
      <c r="A155" s="19" t="s">
        <v>12</v>
      </c>
      <c r="B155" s="20">
        <f>SUM(B146:B154)</f>
        <v>173105.92000000001</v>
      </c>
    </row>
    <row r="156" spans="1:2" ht="15.75" customHeight="1">
      <c r="A156" s="15" t="s">
        <v>68</v>
      </c>
      <c r="B156" s="2"/>
    </row>
    <row r="157" spans="1:2" ht="15.75" customHeight="1">
      <c r="A157" s="5" t="s">
        <v>1</v>
      </c>
      <c r="B157" s="18">
        <v>6589.42</v>
      </c>
    </row>
    <row r="158" spans="1:2" ht="15.75" customHeight="1">
      <c r="A158" s="5" t="s">
        <v>2</v>
      </c>
      <c r="B158" s="20">
        <f>109970.31+15000+33211.03</f>
        <v>158181.34</v>
      </c>
    </row>
    <row r="159" spans="1:2" ht="15.75" customHeight="1">
      <c r="A159" s="5" t="s">
        <v>3</v>
      </c>
      <c r="B159" s="20">
        <f>832.8+2000</f>
        <v>2832.8</v>
      </c>
    </row>
    <row r="160" spans="1:2" ht="15.75" customHeight="1">
      <c r="A160" s="7" t="s">
        <v>4</v>
      </c>
      <c r="B160" s="21">
        <f>6423.86</f>
        <v>6423.86</v>
      </c>
    </row>
    <row r="161" spans="1:2" ht="15.75" customHeight="1">
      <c r="A161" s="7" t="s">
        <v>7</v>
      </c>
      <c r="B161" s="22">
        <v>13000</v>
      </c>
    </row>
    <row r="162" spans="1:2" ht="15.75" customHeight="1">
      <c r="A162" s="7" t="s">
        <v>69</v>
      </c>
      <c r="B162" s="21">
        <f>2999.14</f>
        <v>2999.14</v>
      </c>
    </row>
    <row r="163" spans="1:2" ht="15.75" customHeight="1">
      <c r="A163" s="7" t="s">
        <v>11</v>
      </c>
      <c r="B163" s="21">
        <f>10400</f>
        <v>10400</v>
      </c>
    </row>
    <row r="164" spans="1:2" ht="15.75" customHeight="1">
      <c r="A164" s="7" t="s">
        <v>70</v>
      </c>
      <c r="B164" s="8">
        <f>18804.48</f>
        <v>18804.48</v>
      </c>
    </row>
    <row r="165" spans="1:2" ht="15.75" customHeight="1">
      <c r="A165" s="7" t="s">
        <v>9</v>
      </c>
      <c r="B165" s="8">
        <f>259</f>
        <v>259</v>
      </c>
    </row>
    <row r="166" spans="1:2" ht="15.75" customHeight="1">
      <c r="A166" s="5" t="s">
        <v>46</v>
      </c>
      <c r="B166" s="8">
        <f>5966+1476</f>
        <v>7442</v>
      </c>
    </row>
    <row r="167" spans="1:2" ht="15.75" customHeight="1">
      <c r="A167" s="7" t="s">
        <v>20</v>
      </c>
      <c r="B167" s="8">
        <v>419.99</v>
      </c>
    </row>
    <row r="168" spans="1:2" ht="15.75" customHeight="1">
      <c r="A168" s="19" t="s">
        <v>12</v>
      </c>
      <c r="B168" s="20">
        <f>SUM(B157:B167)</f>
        <v>227352.03</v>
      </c>
    </row>
    <row r="169" spans="1:2" ht="15.75" customHeight="1">
      <c r="A169" s="19" t="s">
        <v>71</v>
      </c>
      <c r="B169" s="20">
        <f>B128+B144+B155+B168</f>
        <v>3047661.5999999996</v>
      </c>
    </row>
    <row r="170" spans="1:2" ht="15.75" customHeight="1"/>
    <row r="171" spans="1:2" ht="15.75" customHeight="1"/>
    <row r="172" spans="1:2" ht="15.75" customHeight="1"/>
    <row r="173" spans="1:2" ht="15.75" customHeight="1"/>
    <row r="174" spans="1:2" ht="15.75" customHeight="1"/>
    <row r="175" spans="1:2" ht="15.75" customHeight="1"/>
    <row r="176" spans="1:2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2022-08-12T23:00:45Z</dcterms:modified>
</cp:coreProperties>
</file>